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7835" windowHeight="8190" activeTab="0"/>
  </bookViews>
  <sheets>
    <sheet name="AWC Calc" sheetId="1" r:id="rId1"/>
    <sheet name="Texture Codes" sheetId="2" r:id="rId2"/>
  </sheets>
  <definedNames>
    <definedName name="ppfinterp" localSheetId="0">'AWC Calc'!$D$5:$L$24</definedName>
  </definedNames>
  <calcPr fullCalcOnLoad="1"/>
</workbook>
</file>

<file path=xl/comments1.xml><?xml version="1.0" encoding="utf-8"?>
<comments xmlns="http://schemas.openxmlformats.org/spreadsheetml/2006/main">
  <authors>
    <author>David Jacquier</author>
  </authors>
  <commentList>
    <comment ref="E4" authorId="0">
      <text>
        <r>
          <rPr>
            <sz val="8"/>
            <rFont val="Tahoma"/>
            <family val="0"/>
          </rPr>
          <t xml:space="preserve">Structure Index:
Apedal=1
Pedal=2
</t>
        </r>
      </text>
    </comment>
  </commentList>
</comments>
</file>

<file path=xl/sharedStrings.xml><?xml version="1.0" encoding="utf-8"?>
<sst xmlns="http://schemas.openxmlformats.org/spreadsheetml/2006/main" count="373" uniqueCount="253">
  <si>
    <t>Williams et al. (1992)</t>
  </si>
  <si>
    <t>Williams</t>
  </si>
  <si>
    <t>Calc</t>
  </si>
  <si>
    <t>(m)</t>
  </si>
  <si>
    <t>Struct index</t>
  </si>
  <si>
    <t>(Mg/m3)</t>
  </si>
  <si>
    <t>theta_s</t>
  </si>
  <si>
    <t>F3 A</t>
  </si>
  <si>
    <t>F3 B</t>
  </si>
  <si>
    <t>F3_b</t>
  </si>
  <si>
    <t>F3_aep (-cm)</t>
  </si>
  <si>
    <t>F7 A</t>
  </si>
  <si>
    <t>F7 B</t>
  </si>
  <si>
    <t>F7_b</t>
  </si>
  <si>
    <t>F7_aep (-cm)</t>
  </si>
  <si>
    <t>(m3/m3)</t>
  </si>
  <si>
    <t xml:space="preserve"> (mm/m)</t>
  </si>
  <si>
    <t xml:space="preserve"> (mm)</t>
  </si>
  <si>
    <t>A_thetasat</t>
  </si>
  <si>
    <t>A_F3A</t>
  </si>
  <si>
    <t>A_F3B</t>
  </si>
  <si>
    <t>A_F3b</t>
  </si>
  <si>
    <t>A_F3aep</t>
  </si>
  <si>
    <t>A_F7A</t>
  </si>
  <si>
    <t>A_F7B</t>
  </si>
  <si>
    <t>A_F7b</t>
  </si>
  <si>
    <t>A_F7aep</t>
  </si>
  <si>
    <t>Horizon thickness</t>
  </si>
  <si>
    <t>Sand %</t>
  </si>
  <si>
    <t>Silt %</t>
  </si>
  <si>
    <t>Clay %</t>
  </si>
  <si>
    <t>0.1bar</t>
  </si>
  <si>
    <t>15bar</t>
  </si>
  <si>
    <t>0.1 bar</t>
  </si>
  <si>
    <t>Budiman</t>
  </si>
  <si>
    <t>15 bar</t>
  </si>
  <si>
    <t>Table 22.1 SPH</t>
  </si>
  <si>
    <t>text</t>
  </si>
  <si>
    <t>thick</t>
  </si>
  <si>
    <t>struct</t>
  </si>
  <si>
    <t>bulk density</t>
  </si>
  <si>
    <t>AWD</t>
  </si>
  <si>
    <t>AWC</t>
  </si>
  <si>
    <t>Layer AWC</t>
  </si>
  <si>
    <t>Williams Function Number 3</t>
  </si>
  <si>
    <t>Willams Function Number 7</t>
  </si>
  <si>
    <t>Bulk density</t>
  </si>
  <si>
    <t>Particle Size (for Budiman only)</t>
  </si>
  <si>
    <t>Tract ID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</si>
  <si>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</si>
  <si>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</si>
  <si>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</si>
  <si>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</si>
  <si>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</si>
  <si>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</si>
  <si>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</si>
  <si>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</si>
  <si>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</si>
  <si>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</si>
  <si>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</si>
  <si>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</si>
  <si>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</si>
  <si>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</si>
  <si>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</si>
  <si>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</si>
  <si>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</si>
  <si>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Texture</t>
  </si>
  <si>
    <t>L</t>
  </si>
  <si>
    <t>S</t>
  </si>
  <si>
    <t>Texture Class</t>
  </si>
  <si>
    <t>Sand</t>
  </si>
  <si>
    <t>FS</t>
  </si>
  <si>
    <t>Fine sand</t>
  </si>
  <si>
    <t>MS</t>
  </si>
  <si>
    <t>Medium sand</t>
  </si>
  <si>
    <t>KS</t>
  </si>
  <si>
    <t>Coarse sand</t>
  </si>
  <si>
    <t>SA</t>
  </si>
  <si>
    <t>Sapric sand</t>
  </si>
  <si>
    <t>SI</t>
  </si>
  <si>
    <t>Fibric sand</t>
  </si>
  <si>
    <t>LS</t>
  </si>
  <si>
    <t>Loamy sand</t>
  </si>
  <si>
    <t>LFS</t>
  </si>
  <si>
    <t>Loamy fine sand</t>
  </si>
  <si>
    <t>LMS</t>
  </si>
  <si>
    <t>Loamy medium sand</t>
  </si>
  <si>
    <t>LKS</t>
  </si>
  <si>
    <t>Loamy coarse sand</t>
  </si>
  <si>
    <t>LSA</t>
  </si>
  <si>
    <t xml:space="preserve">Sapric loamy sand </t>
  </si>
  <si>
    <t>LSI</t>
  </si>
  <si>
    <t>Fibric loamy sand</t>
  </si>
  <si>
    <t>CS</t>
  </si>
  <si>
    <t>Clayey sand</t>
  </si>
  <si>
    <t>CFS</t>
  </si>
  <si>
    <t>Clayey fine sand</t>
  </si>
  <si>
    <t>CMS</t>
  </si>
  <si>
    <t>Clayey medium sand</t>
  </si>
  <si>
    <t>CKS</t>
  </si>
  <si>
    <t>Clayey coarse sand</t>
  </si>
  <si>
    <t>CSA</t>
  </si>
  <si>
    <t>Sapric clayey sand</t>
  </si>
  <si>
    <t>CSI</t>
  </si>
  <si>
    <t>Fibric clayey sand</t>
  </si>
  <si>
    <t>SL</t>
  </si>
  <si>
    <t>Sandy loam</t>
  </si>
  <si>
    <t>FSL</t>
  </si>
  <si>
    <t>Fine sandy loam</t>
  </si>
  <si>
    <t>MSL</t>
  </si>
  <si>
    <t>Medium sandy loam</t>
  </si>
  <si>
    <t>KSL</t>
  </si>
  <si>
    <t>Coarse sandy loam</t>
  </si>
  <si>
    <t>SLA</t>
  </si>
  <si>
    <t>Sapric sandy loam</t>
  </si>
  <si>
    <t>SLI</t>
  </si>
  <si>
    <t>Fibric sandy loam</t>
  </si>
  <si>
    <t>Loam</t>
  </si>
  <si>
    <t>LA</t>
  </si>
  <si>
    <t>Sapric loam</t>
  </si>
  <si>
    <t>LI</t>
  </si>
  <si>
    <t>Fibric loam</t>
  </si>
  <si>
    <t>ZL</t>
  </si>
  <si>
    <t>Silty loam</t>
  </si>
  <si>
    <t>ZLA</t>
  </si>
  <si>
    <t>Sapric silty loam</t>
  </si>
  <si>
    <t>ZLI</t>
  </si>
  <si>
    <t>Fibric silty loam</t>
  </si>
  <si>
    <t>SCL</t>
  </si>
  <si>
    <t>Sandy clay loam</t>
  </si>
  <si>
    <t>SCLFS</t>
  </si>
  <si>
    <t>Sandy clay loam, fine sand</t>
  </si>
  <si>
    <t>SCLA</t>
  </si>
  <si>
    <t>Sapric sandy clay loam</t>
  </si>
  <si>
    <t>SCLI</t>
  </si>
  <si>
    <t>Fibric sandy clay loam</t>
  </si>
  <si>
    <t>CL</t>
  </si>
  <si>
    <t>Clay loam</t>
  </si>
  <si>
    <t>FSCL</t>
  </si>
  <si>
    <t>Fine sandy clay loam</t>
  </si>
  <si>
    <t>MSCL</t>
  </si>
  <si>
    <t>Medium sandy clay loam</t>
  </si>
  <si>
    <t>KSCL</t>
  </si>
  <si>
    <t>Coarse sandy clay loam</t>
  </si>
  <si>
    <t>CLA</t>
  </si>
  <si>
    <t>Sapric clay loam</t>
  </si>
  <si>
    <t>CLI</t>
  </si>
  <si>
    <t>Fibric clay loam</t>
  </si>
  <si>
    <t>CLS</t>
  </si>
  <si>
    <t>Clay loam, sandy</t>
  </si>
  <si>
    <t>CLFS</t>
  </si>
  <si>
    <t>Clay loam, fine sandy</t>
  </si>
  <si>
    <t>CLMS</t>
  </si>
  <si>
    <t>Clay loam, medium sandy</t>
  </si>
  <si>
    <t>CLKS</t>
  </si>
  <si>
    <t>Clay loam, coarse sandy</t>
  </si>
  <si>
    <t>CLSA</t>
  </si>
  <si>
    <t>Sapric clay loam, sandy</t>
  </si>
  <si>
    <t>CLSI</t>
  </si>
  <si>
    <t>Fibric clay loam, sandy</t>
  </si>
  <si>
    <t>ZCL</t>
  </si>
  <si>
    <t>Silty clay loam</t>
  </si>
  <si>
    <t>ZCLA</t>
  </si>
  <si>
    <t>Sapric silty clay loam</t>
  </si>
  <si>
    <t>ZCLI</t>
  </si>
  <si>
    <t>Fibric silty clay loam</t>
  </si>
  <si>
    <t>LC</t>
  </si>
  <si>
    <t>Light clay</t>
  </si>
  <si>
    <t>SLC</t>
  </si>
  <si>
    <t>Sandy light clay</t>
  </si>
  <si>
    <t>FSLC</t>
  </si>
  <si>
    <t>Fine sandy light clay</t>
  </si>
  <si>
    <t>MSLC</t>
  </si>
  <si>
    <t>Medium sandy light clay</t>
  </si>
  <si>
    <t>KSLC</t>
  </si>
  <si>
    <t>Coarse sandy light clay</t>
  </si>
  <si>
    <t>ZLC</t>
  </si>
  <si>
    <t>Silty light clay</t>
  </si>
  <si>
    <t>LCA</t>
  </si>
  <si>
    <t>Sapric light clay</t>
  </si>
  <si>
    <t>LCI</t>
  </si>
  <si>
    <t>Fibric light clay</t>
  </si>
  <si>
    <t>LMC</t>
  </si>
  <si>
    <t>Light medium clay</t>
  </si>
  <si>
    <t>ZLMC</t>
  </si>
  <si>
    <t>Silty light medium clay</t>
  </si>
  <si>
    <t>SLMC</t>
  </si>
  <si>
    <t>Sandy light medium clay</t>
  </si>
  <si>
    <t>FSLMC</t>
  </si>
  <si>
    <t>Fine sandy light medium clay</t>
  </si>
  <si>
    <t>MSLMC</t>
  </si>
  <si>
    <t>Medium sandy light medium clay</t>
  </si>
  <si>
    <t>KSLMC</t>
  </si>
  <si>
    <t>Coarse sandy light medium clay</t>
  </si>
  <si>
    <t>LMCA</t>
  </si>
  <si>
    <t>Sapric light medium clay</t>
  </si>
  <si>
    <t>LMCI</t>
  </si>
  <si>
    <t>Fibric light medium clay</t>
  </si>
  <si>
    <t>MC</t>
  </si>
  <si>
    <t>Medium clay</t>
  </si>
  <si>
    <t>ZMC</t>
  </si>
  <si>
    <t>Silty medium clay</t>
  </si>
  <si>
    <t>SMC</t>
  </si>
  <si>
    <t>Sandy medium clay</t>
  </si>
  <si>
    <t>FSMC</t>
  </si>
  <si>
    <t>Fine sandy medium clay</t>
  </si>
  <si>
    <t>MSMC</t>
  </si>
  <si>
    <t>Medium sandy medium clay</t>
  </si>
  <si>
    <t>KSMC</t>
  </si>
  <si>
    <t>Coarse sandy medium clay</t>
  </si>
  <si>
    <t>MCA</t>
  </si>
  <si>
    <t>Sapric medium clay</t>
  </si>
  <si>
    <t>MCI</t>
  </si>
  <si>
    <t>Fibric medium clay</t>
  </si>
  <si>
    <t>MHC</t>
  </si>
  <si>
    <t>Medium heavy clay</t>
  </si>
  <si>
    <t>ZMHC</t>
  </si>
  <si>
    <t>Silty medium heavy clay</t>
  </si>
  <si>
    <t>SMHC</t>
  </si>
  <si>
    <t>Sandy medium heavy clay</t>
  </si>
  <si>
    <t>FSMHC</t>
  </si>
  <si>
    <t>Fine sandy medium heavy clay</t>
  </si>
  <si>
    <t>MSMHC</t>
  </si>
  <si>
    <t>Medium sandy medium heavy clay</t>
  </si>
  <si>
    <t>KSMHC</t>
  </si>
  <si>
    <t>Coarse sandy medium heavy clay</t>
  </si>
  <si>
    <t>MHCA</t>
  </si>
  <si>
    <t>Sapric medium heavy clay</t>
  </si>
  <si>
    <t>MHCI</t>
  </si>
  <si>
    <t>Fibric medium heavy clay</t>
  </si>
  <si>
    <t>HC</t>
  </si>
  <si>
    <t>Heavy clay</t>
  </si>
  <si>
    <t>SHC</t>
  </si>
  <si>
    <t>Sandy heavy clay</t>
  </si>
  <si>
    <t>FSHC</t>
  </si>
  <si>
    <t>Fine sandy heavy clay</t>
  </si>
  <si>
    <t>MSHC</t>
  </si>
  <si>
    <t>Medium sandy heavy clay</t>
  </si>
  <si>
    <t>KSHC</t>
  </si>
  <si>
    <t>Coarse sandy heavy clay</t>
  </si>
  <si>
    <t>ZHC</t>
  </si>
  <si>
    <t>Silty heavy clay</t>
  </si>
  <si>
    <t>HCA</t>
  </si>
  <si>
    <t>Sapric heavy clay</t>
  </si>
  <si>
    <t>HCI</t>
  </si>
  <si>
    <t>Fibric heavy clay</t>
  </si>
  <si>
    <t>1</t>
  </si>
  <si>
    <t>3</t>
  </si>
  <si>
    <t>4</t>
  </si>
  <si>
    <t>6</t>
  </si>
  <si>
    <t>2</t>
  </si>
  <si>
    <t>5</t>
  </si>
  <si>
    <t>Horizon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</si>
</sst>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0.0000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MS Sans Serif"/>
      <family val="0"/>
    </font>
    <font>
      <sz val="10"/>
      <name val="Arial"/>
      <family val="0"/>
    </font>
    <font>
      <sz val="8"/>
      <name val="Tahoma"/>
      <family val="0"/>
    </font>
    <font>
      <sz val="10"/>
      <color indexed="8"/>
      <name val="Arial"/>
      <family val="0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9" fillId="0" borderId="1" xfId="21" applyFont="1" applyFill="1" applyBorder="1" applyAlignment="1">
      <alignment wrapText="1"/>
      <protection/>
    </xf>
    <xf numFmtId="0" fontId="9" fillId="0" borderId="1" xfId="21" applyFont="1" applyFill="1" applyBorder="1" applyAlignment="1">
      <alignment horizontal="right" wrapText="1"/>
      <protection/>
    </xf>
    <xf numFmtId="2" fontId="0" fillId="2" borderId="0" xfId="0" applyNumberFormat="1" applyFill="1" applyAlignment="1">
      <alignment/>
    </xf>
    <xf numFmtId="2" fontId="7" fillId="2" borderId="0" xfId="0" applyNumberFormat="1" applyFont="1" applyFill="1" applyAlignment="1">
      <alignment/>
    </xf>
    <xf numFmtId="2" fontId="0" fillId="2" borderId="0" xfId="0" applyNumberFormat="1" applyFill="1" applyBorder="1" applyAlignment="1">
      <alignment/>
    </xf>
    <xf numFmtId="1" fontId="0" fillId="2" borderId="0" xfId="0" applyNumberFormat="1" applyFill="1" applyAlignment="1">
      <alignment/>
    </xf>
    <xf numFmtId="1" fontId="0" fillId="2" borderId="0" xfId="0" applyNumberFormat="1" applyFill="1" applyAlignment="1">
      <alignment horizontal="righ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exture Cod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I35"/>
  <sheetViews>
    <sheetView tabSelected="1" workbookViewId="0" topLeftCell="R1">
      <selection activeCell="J1" sqref="J1:J16384"/>
    </sheetView>
  </sheetViews>
  <sheetFormatPr defaultColWidth="9.140625" defaultRowHeight="12.75"/>
  <cols>
    <col min="1" max="3" width="9.140625" style="11" customWidth="1"/>
    <col min="4" max="4" width="11.421875" style="12" customWidth="1"/>
    <col min="5" max="5" width="11.28125" style="13" customWidth="1"/>
    <col min="6" max="6" width="10.7109375" style="12" customWidth="1"/>
    <col min="7" max="10" width="9.140625" style="14" customWidth="1"/>
    <col min="11" max="11" width="12.421875" style="9" customWidth="1"/>
    <col min="12" max="20" width="9.140625" style="6" customWidth="1"/>
    <col min="21" max="21" width="9.140625" style="3" customWidth="1"/>
    <col min="22" max="23" width="9.140625" style="1" customWidth="1"/>
    <col min="27" max="28" width="9.140625" style="1" customWidth="1"/>
    <col min="32" max="33" width="9.140625" style="1" customWidth="1"/>
    <col min="34" max="35" width="9.140625" style="2" customWidth="1"/>
  </cols>
  <sheetData>
    <row r="1" ht="12.75"/>
    <row r="2" ht="12.75"/>
    <row r="3" spans="13:33" ht="12.75">
      <c r="M3" s="6" t="s">
        <v>0</v>
      </c>
      <c r="V3" s="1" t="s">
        <v>44</v>
      </c>
      <c r="AA3" s="1" t="s">
        <v>45</v>
      </c>
      <c r="AF3" s="1" t="s">
        <v>34</v>
      </c>
      <c r="AG3" s="1" t="s">
        <v>36</v>
      </c>
    </row>
    <row r="4" spans="1:35" ht="12.75">
      <c r="A4" s="11" t="s">
        <v>48</v>
      </c>
      <c r="B4" s="11" t="s">
        <v>252</v>
      </c>
      <c r="C4" s="11" t="s">
        <v>66</v>
      </c>
      <c r="D4" s="12" t="s">
        <v>27</v>
      </c>
      <c r="E4" s="13" t="s">
        <v>1</v>
      </c>
      <c r="F4" s="12" t="s">
        <v>46</v>
      </c>
      <c r="G4" s="14" t="s">
        <v>47</v>
      </c>
      <c r="K4" s="9" t="s">
        <v>1</v>
      </c>
      <c r="L4" s="6" t="s">
        <v>2</v>
      </c>
      <c r="V4" s="1" t="s">
        <v>31</v>
      </c>
      <c r="W4" s="1" t="s">
        <v>32</v>
      </c>
      <c r="X4" t="s">
        <v>42</v>
      </c>
      <c r="Y4" t="s">
        <v>43</v>
      </c>
      <c r="AA4" s="1" t="s">
        <v>31</v>
      </c>
      <c r="AB4" s="1" t="s">
        <v>32</v>
      </c>
      <c r="AC4" t="s">
        <v>42</v>
      </c>
      <c r="AD4" t="s">
        <v>43</v>
      </c>
      <c r="AF4" s="1" t="s">
        <v>31</v>
      </c>
      <c r="AG4" s="1" t="s">
        <v>32</v>
      </c>
      <c r="AH4" s="2" t="s">
        <v>42</v>
      </c>
      <c r="AI4" s="2" t="s">
        <v>43</v>
      </c>
    </row>
    <row r="5" spans="4:30" ht="12.75">
      <c r="D5" s="12" t="s">
        <v>3</v>
      </c>
      <c r="E5" s="13" t="s">
        <v>4</v>
      </c>
      <c r="F5" s="12" t="s">
        <v>5</v>
      </c>
      <c r="K5" s="9" t="s">
        <v>69</v>
      </c>
      <c r="L5" s="6" t="s">
        <v>6</v>
      </c>
      <c r="M5" s="7" t="s">
        <v>7</v>
      </c>
      <c r="N5" s="7" t="s">
        <v>8</v>
      </c>
      <c r="O5" s="7" t="s">
        <v>9</v>
      </c>
      <c r="P5" s="7" t="s">
        <v>10</v>
      </c>
      <c r="Q5" s="7" t="s">
        <v>11</v>
      </c>
      <c r="R5" s="7" t="s">
        <v>12</v>
      </c>
      <c r="S5" s="7" t="s">
        <v>13</v>
      </c>
      <c r="T5" s="7" t="s">
        <v>14</v>
      </c>
      <c r="V5" s="1" t="s">
        <v>15</v>
      </c>
      <c r="W5" s="1" t="s">
        <v>15</v>
      </c>
      <c r="X5" t="s">
        <v>16</v>
      </c>
      <c r="Y5" t="s">
        <v>17</v>
      </c>
      <c r="AA5" s="1" t="s">
        <v>15</v>
      </c>
      <c r="AB5" s="1" t="s">
        <v>15</v>
      </c>
      <c r="AC5" t="s">
        <v>16</v>
      </c>
      <c r="AD5" t="s">
        <v>17</v>
      </c>
    </row>
    <row r="6" spans="13:20" ht="12.75">
      <c r="M6" s="7"/>
      <c r="N6" s="7"/>
      <c r="O6" s="7"/>
      <c r="P6" s="7"/>
      <c r="Q6" s="7"/>
      <c r="R6" s="7"/>
      <c r="S6" s="7"/>
      <c r="T6" s="7"/>
    </row>
    <row r="7" spans="4:35" ht="12.75">
      <c r="D7" s="12" t="s">
        <v>38</v>
      </c>
      <c r="E7" s="13" t="s">
        <v>39</v>
      </c>
      <c r="F7" s="12" t="s">
        <v>40</v>
      </c>
      <c r="G7" s="14" t="s">
        <v>28</v>
      </c>
      <c r="H7" s="14" t="s">
        <v>29</v>
      </c>
      <c r="I7" s="14" t="s">
        <v>30</v>
      </c>
      <c r="K7" s="9" t="s">
        <v>37</v>
      </c>
      <c r="L7" s="6" t="s">
        <v>18</v>
      </c>
      <c r="M7" s="7" t="s">
        <v>19</v>
      </c>
      <c r="N7" s="7" t="s">
        <v>20</v>
      </c>
      <c r="O7" s="7" t="s">
        <v>21</v>
      </c>
      <c r="P7" s="7" t="s">
        <v>22</v>
      </c>
      <c r="Q7" s="7" t="s">
        <v>23</v>
      </c>
      <c r="R7" s="7" t="s">
        <v>24</v>
      </c>
      <c r="S7" s="7" t="s">
        <v>25</v>
      </c>
      <c r="T7" s="7" t="s">
        <v>26</v>
      </c>
      <c r="V7" s="1" t="s">
        <v>31</v>
      </c>
      <c r="W7" s="1" t="s">
        <v>32</v>
      </c>
      <c r="X7" t="s">
        <v>42</v>
      </c>
      <c r="Y7" t="s">
        <v>41</v>
      </c>
      <c r="AA7" s="1" t="s">
        <v>31</v>
      </c>
      <c r="AB7" s="1" t="s">
        <v>32</v>
      </c>
      <c r="AC7" t="s">
        <v>42</v>
      </c>
      <c r="AD7" t="s">
        <v>41</v>
      </c>
      <c r="AF7" s="1" t="s">
        <v>33</v>
      </c>
      <c r="AG7" s="1" t="s">
        <v>35</v>
      </c>
      <c r="AH7" s="2" t="s">
        <v>42</v>
      </c>
      <c r="AI7" s="2" t="s">
        <v>41</v>
      </c>
    </row>
    <row r="8" spans="1:35" ht="12.75">
      <c r="A8" s="11" t="s">
        <v>49</v>
      </c>
      <c r="B8" s="11">
        <v>1</v>
      </c>
      <c r="C8" s="11" t="s">
        <v>67</v>
      </c>
      <c r="D8" s="12">
        <v>0.5</v>
      </c>
      <c r="E8" s="13">
        <v>2</v>
      </c>
      <c r="F8" s="12">
        <v>1</v>
      </c>
      <c r="G8" s="14">
        <v>60</v>
      </c>
      <c r="H8" s="14">
        <v>20</v>
      </c>
      <c r="I8" s="14">
        <v>20</v>
      </c>
      <c r="K8" s="10" t="str">
        <f>LOOKUP(C8,'Texture Codes'!$A$1:$A$89,'Texture Codes'!$C$1:$C$89)</f>
        <v>3</v>
      </c>
      <c r="L8" s="6">
        <f aca="true" t="shared" si="0" ref="L8:L24">IF(ISBLANK(F8),"",(1-(F8/2.65))*0.93)</f>
        <v>0.5790566037735849</v>
      </c>
      <c r="M8" s="6">
        <f>IF(ISBLANK(F8),"",2.2+(0.541*(LN(K8)))+(0.355*E8)-(0.19*F8))</f>
        <v>3.3143492481694476</v>
      </c>
      <c r="N8" s="6">
        <f>IF(ISBLANK(F8),"",-0.268+(0.1213*(LN(K8))))</f>
        <v>-0.1347383293845583</v>
      </c>
      <c r="O8" s="6">
        <f>IF(ISBLANK(F8),"",(1/N8)*-1)</f>
        <v>7.421793075271759</v>
      </c>
      <c r="P8" s="6">
        <f>IF(ISBLANK(F8),"",(EXP((M8-LN($L8*100))/(1/O8)))*1000)</f>
        <v>3.984785445614627</v>
      </c>
      <c r="Q8" s="6">
        <f>IF(ISBLANK(F8),"",2.116+(0.323*(LN(K8)))+(0.27*E8)-(0.485*(LN(F8)))+(0.124*F8)+(0.056*K8))</f>
        <v>3.3028517692398</v>
      </c>
      <c r="R8" s="6">
        <f>IF(ISBLANK(F8),"",-0.295+(0.0442*E8)+(0.132*(LN(F8)))+(0.0787*(LN(K8)))-(0.0278*F8))</f>
        <v>-0.14793921288181974</v>
      </c>
      <c r="S8" s="6">
        <f>IF(ISBLANK(F8),"",(1/R8)*-1)</f>
        <v>6.759533057667701</v>
      </c>
      <c r="T8" s="6">
        <f>IF(ISBLANK(F8),"",(EXP((Q8-LN($L8*100))/(1/S8)))*1000)</f>
        <v>6.036327979922868</v>
      </c>
      <c r="V8" s="1">
        <f>IF(ISBLANK($F8),"",IF(P8&gt;100,$L8,($L8*(100/$P8)^(-1/$O8))))</f>
        <v>0.3750955561308973</v>
      </c>
      <c r="W8" s="1">
        <f aca="true" t="shared" si="1" ref="W8:W23">IF(ISBLANK(L8),"",IF(P8&gt;15000,$L8,($L8*(15000/$P8)^(-1/$O8))))</f>
        <v>0.1909585103549003</v>
      </c>
      <c r="X8" s="2">
        <f>IF(ISBLANK(F8),"",(V8-W8)*1000)</f>
        <v>184.137045775997</v>
      </c>
      <c r="Y8" s="2">
        <f>IF(ISBLANK(F8),"",X8*$D8)</f>
        <v>92.0685228879985</v>
      </c>
      <c r="Z8" s="2"/>
      <c r="AA8" s="1">
        <f>IF(ISBLANK($F8),"",IF($T8&gt;100,$L8,($L8*(100/$T8)^(-1/$S8))))</f>
        <v>0.38225177504912883</v>
      </c>
      <c r="AB8" s="1">
        <f>IF(ISBLANK($F8),"",IF($T8&gt;15000,$L8,($L8*(15000/$T8)^(-1/$S8))))</f>
        <v>0.18214627025896749</v>
      </c>
      <c r="AC8" s="2">
        <f>IF(ISBLANK(F8),"",(AA8-AB8)*1000)</f>
        <v>200.10550479016135</v>
      </c>
      <c r="AD8" s="2">
        <f>IF(ISBLANK(F8),"",AC8*$D8)</f>
        <v>100.05275239508067</v>
      </c>
      <c r="AF8" s="1">
        <f aca="true" t="shared" si="2" ref="AF8:AF24">IF(ISBLANK(G8),"",(0.6561-0.0028*G8-0.141*F8+0.000019*(G8*I8)))</f>
        <v>0.36989999999999995</v>
      </c>
      <c r="AG8" s="1">
        <f aca="true" t="shared" si="3" ref="AG8:AG24">IF(ISBLANK(G8),"",0.26+0.00092*I8-0.0027*G8-0.00858*F8+0.0000164*(G8*I8))</f>
        <v>0.12749999999999997</v>
      </c>
      <c r="AH8" s="2">
        <f>IF(ISBLANK(F8),"",(AF8-AG8)*1000)</f>
        <v>242.39999999999998</v>
      </c>
      <c r="AI8" s="2">
        <f>IF(ISBLANK(F8),"",AH8*$D8)</f>
        <v>121.19999999999999</v>
      </c>
    </row>
    <row r="9" spans="1:33" ht="12.75">
      <c r="A9" s="11" t="s">
        <v>50</v>
      </c>
      <c r="B9" s="11">
        <v>1</v>
      </c>
      <c r="C9" s="11" t="s">
        <v>68</v>
      </c>
      <c r="D9" s="12">
        <v>0.4000000059604645</v>
      </c>
      <c r="E9" s="13">
        <v>2</v>
      </c>
      <c r="F9" s="12">
        <v>1.4</v>
      </c>
      <c r="K9" s="10" t="str">
        <f>LOOKUP(C9,'Texture Codes'!$A$1:$A$89,'Texture Codes'!$C$1:$C$89)</f>
        <v>1</v>
      </c>
      <c r="L9" s="6">
        <f t="shared" si="0"/>
        <v>0.4386792452830189</v>
      </c>
      <c r="M9" s="6">
        <f>2.2+(0.541*(LN(K9)))+(0.355*E9)-(0.19*F9)</f>
        <v>2.644</v>
      </c>
      <c r="N9" s="6">
        <f aca="true" t="shared" si="4" ref="N9:N24">-0.268+(0.1213*(LN(K9)))</f>
        <v>-0.268</v>
      </c>
      <c r="O9" s="6">
        <f>IF(ISBLANK(F9),"",(1/N9)*-1)</f>
        <v>3.731343283582089</v>
      </c>
      <c r="P9" s="6">
        <f aca="true" t="shared" si="5" ref="P9:P23">(EXP((M9-LN($L9*100))/(1/O9)))*1000</f>
        <v>14.361250191421579</v>
      </c>
      <c r="Q9" s="6">
        <f>2.116+(0.323*(LN(K9)))+(0.27*E9)-(0.485*(LN(F9)))+(0.124*F9)+(0.056*K9)</f>
        <v>2.722410965238712</v>
      </c>
      <c r="R9" s="6">
        <f>-0.295+(0.0442*E9)+(0.132*(LN(F9)))+(0.0787*(LN(K9)))-(0.0278*F9)</f>
        <v>-0.2011056647659999</v>
      </c>
      <c r="S9" s="6">
        <f aca="true" t="shared" si="6" ref="S9:S24">(1/R9)*-1</f>
        <v>4.972510352523227</v>
      </c>
      <c r="T9" s="6">
        <f aca="true" t="shared" si="7" ref="T9:T23">(EXP((Q9-LN($L9*100))/(1/S9)))*1000</f>
        <v>5.170649782757909</v>
      </c>
      <c r="V9" s="1">
        <f>IF(ISBLANK($F9),"",IF(P9&gt;100,$L9,($L9*(100/$P9)^(-1/$O9))))</f>
        <v>0.2607801976507456</v>
      </c>
      <c r="W9" s="1">
        <f t="shared" si="1"/>
        <v>0.06808981476847321</v>
      </c>
      <c r="X9" s="2">
        <f>IF(ISBLANK(F9),"",(V9-W9)*1000)</f>
        <v>192.69038288227242</v>
      </c>
      <c r="Y9" s="2">
        <f>IF(ISBLANK(F9),"",X9*$D9)</f>
        <v>77.07615430143315</v>
      </c>
      <c r="Z9" s="2"/>
      <c r="AA9" s="1">
        <f>IF(ISBLANK($F9),"",IF($T9&gt;100,$L9,($L9*(100/$T9)^(-1/$S9))))</f>
        <v>0.2417874329792684</v>
      </c>
      <c r="AB9" s="1">
        <f>IF(ISBLANK($F9),"",IF($T9&gt;15000,$L9,($L9*(15000/$T9)^(-1/$S9))))</f>
        <v>0.08826925176382572</v>
      </c>
      <c r="AC9" s="2">
        <f>IF(ISBLANK(F9),"",(AA9-AB9)*1000)</f>
        <v>153.5181812154427</v>
      </c>
      <c r="AD9" s="2">
        <f>IF(ISBLANK(F9),"",AC9*$D9)</f>
        <v>61.40727340121674</v>
      </c>
      <c r="AF9" s="1">
        <f t="shared" si="2"/>
      </c>
      <c r="AG9" s="1">
        <f t="shared" si="3"/>
      </c>
    </row>
    <row r="10" spans="1:33" ht="12.75">
      <c r="A10" s="11" t="s">
        <v>51</v>
      </c>
      <c r="B10" s="11">
        <v>1</v>
      </c>
      <c r="C10" s="11" t="s">
        <v>128</v>
      </c>
      <c r="D10" s="12">
        <v>0.5</v>
      </c>
      <c r="E10" s="13">
        <v>2</v>
      </c>
      <c r="F10" s="12">
        <v>1.399999976158142</v>
      </c>
      <c r="K10" s="10" t="str">
        <f>LOOKUP(C10,'Texture Codes'!$A$1:$A$89,'Texture Codes'!$C$1:$C$89)</f>
        <v>3</v>
      </c>
      <c r="L10" s="6">
        <f t="shared" si="0"/>
        <v>0.4386792536501615</v>
      </c>
      <c r="M10" s="6">
        <f>2.2+(0.541*(LN(K10)))+(0.355*E10)-(0.19*F10)</f>
        <v>3.2383492526994004</v>
      </c>
      <c r="N10" s="6">
        <f t="shared" si="4"/>
        <v>-0.1347383293845583</v>
      </c>
      <c r="O10" s="6">
        <f aca="true" t="shared" si="8" ref="O10:O24">(1/N10)*-1</f>
        <v>7.421793075271759</v>
      </c>
      <c r="P10" s="6">
        <f t="shared" si="5"/>
        <v>17.795620519503885</v>
      </c>
      <c r="Q10" s="6">
        <f>2.116+(0.323*(LN(K10)))+(0.27*E10)-(0.485*(LN(F10)))+(0.124*F10)+(0.056*K10)</f>
        <v>3.189262739781622</v>
      </c>
      <c r="R10" s="6">
        <f>-0.295+(0.0442*E10)+(0.132*(LN(F10)))+(0.0787*(LN(K10)))-(0.0278*F10)</f>
        <v>-0.1146448792329626</v>
      </c>
      <c r="S10" s="6">
        <f t="shared" si="6"/>
        <v>8.722587582546652</v>
      </c>
      <c r="T10" s="6">
        <f t="shared" si="7"/>
        <v>5.7240424222092825</v>
      </c>
      <c r="V10" s="1">
        <f>IF(ISBLANK($F10),"",IF(P10&gt;100,$L10,($L10*(100/$P10)^(-1/$O10))))</f>
        <v>0.34764464200533396</v>
      </c>
      <c r="W10" s="1">
        <f t="shared" si="1"/>
        <v>0.17698344297908583</v>
      </c>
      <c r="X10" s="2">
        <f>IF(ISBLANK(F10),"",(V10-W10)*1000)</f>
        <v>170.66119902624814</v>
      </c>
      <c r="Y10" s="2">
        <f>IF(ISBLANK(F10),"",X10*$D10)</f>
        <v>85.33059951312407</v>
      </c>
      <c r="Z10" s="2"/>
      <c r="AA10" s="1">
        <f>IF(ISBLANK($F10),"",IF($T10&gt;100,$L10,($L10*(100/$T10)^(-1/$S10))))</f>
        <v>0.31602692722238807</v>
      </c>
      <c r="AB10" s="1">
        <f>IF(ISBLANK($F10),"",IF($T10&gt;15000,$L10,($L10*(15000/$T10)^(-1/$S10))))</f>
        <v>0.17792884879569176</v>
      </c>
      <c r="AC10" s="2">
        <f>IF(ISBLANK(F10),"",(AA10-AB10)*1000)</f>
        <v>138.0980784266963</v>
      </c>
      <c r="AD10" s="2">
        <f>IF(ISBLANK(F10),"",AC10*$D10)</f>
        <v>69.04903921334815</v>
      </c>
      <c r="AF10" s="1">
        <f t="shared" si="2"/>
      </c>
      <c r="AG10" s="1">
        <f t="shared" si="3"/>
      </c>
    </row>
    <row r="11" spans="1:33" ht="12.75">
      <c r="A11" s="11" t="s">
        <v>52</v>
      </c>
      <c r="B11" s="11">
        <v>1</v>
      </c>
      <c r="C11" s="11" t="s">
        <v>68</v>
      </c>
      <c r="D11" s="12">
        <v>0.5</v>
      </c>
      <c r="E11" s="13">
        <v>2</v>
      </c>
      <c r="F11" s="12">
        <v>1.399999976158142</v>
      </c>
      <c r="K11" s="10" t="str">
        <f>LOOKUP(C11,'Texture Codes'!$A$1:$A$89,'Texture Codes'!$C$1:$C$89)</f>
        <v>1</v>
      </c>
      <c r="L11" s="6">
        <f t="shared" si="0"/>
        <v>0.4386792536501615</v>
      </c>
      <c r="M11" s="6">
        <f>2.2+(0.541*(LN(K11)))+(0.355*E11)-(0.19*F11)</f>
        <v>2.644000004529953</v>
      </c>
      <c r="N11" s="6">
        <f t="shared" si="4"/>
        <v>-0.268</v>
      </c>
      <c r="O11" s="6">
        <f t="shared" si="8"/>
        <v>3.731343283582089</v>
      </c>
      <c r="P11" s="6">
        <f t="shared" si="5"/>
        <v>14.36124941208084</v>
      </c>
      <c r="Q11" s="6">
        <f>2.116+(0.323*(LN(K11)))+(0.27*E11)-(0.485*(LN(F11)))+(0.124*F11)+(0.056*K11)</f>
        <v>2.7224109705418225</v>
      </c>
      <c r="R11" s="6">
        <f>-0.295+(0.0442*E11)+(0.132*(LN(F11)))+(0.0787*(LN(K11)))-(0.0278*F11)</f>
        <v>-0.20110566635114285</v>
      </c>
      <c r="S11" s="6">
        <f t="shared" si="6"/>
        <v>4.972510313329206</v>
      </c>
      <c r="T11" s="6">
        <f t="shared" si="7"/>
        <v>5.170649643275564</v>
      </c>
      <c r="V11" s="1">
        <f>IF(ISBLANK($F11),"",IF(P11&gt;100,$L11,($L11*(100/$P11)^(-1/$O11))))</f>
        <v>0.26078019883206754</v>
      </c>
      <c r="W11" s="1">
        <f t="shared" si="1"/>
        <v>0.06808981507691686</v>
      </c>
      <c r="X11" s="2">
        <f>IF(ISBLANK(F11),"",(V11-W11)*1000)</f>
        <v>192.6903837551507</v>
      </c>
      <c r="Y11" s="2">
        <f>IF(ISBLANK(F11),"",X11*$D11)</f>
        <v>96.34519187757535</v>
      </c>
      <c r="Z11" s="2"/>
      <c r="AA11" s="1">
        <f>IF(ISBLANK($F11),"",IF($T11&gt;100,$L11,($L11*(100/$T11)^(-1/$S11))))</f>
        <v>0.24178743514400028</v>
      </c>
      <c r="AB11" s="1">
        <f>IF(ISBLANK($F11),"",IF($T11&gt;15000,$L11,($L11*(15000/$T11)^(-1/$S11))))</f>
        <v>0.08826925185301858</v>
      </c>
      <c r="AC11" s="2">
        <f>IF(ISBLANK(F11),"",(AA11-AB11)*1000)</f>
        <v>153.5181832909817</v>
      </c>
      <c r="AD11" s="2">
        <f>IF(ISBLANK(F11),"",AC11*$D11)</f>
        <v>76.75909164549086</v>
      </c>
      <c r="AF11" s="1">
        <f t="shared" si="2"/>
      </c>
      <c r="AG11" s="1">
        <f t="shared" si="3"/>
      </c>
    </row>
    <row r="12" spans="1:33" ht="12.75">
      <c r="A12" s="11" t="s">
        <v>53</v>
      </c>
      <c r="B12" s="11">
        <v>1</v>
      </c>
      <c r="C12" s="11" t="s">
        <v>128</v>
      </c>
      <c r="D12" s="12">
        <v>0.5</v>
      </c>
      <c r="E12" s="13">
        <v>2</v>
      </c>
      <c r="F12" s="12">
        <v>1.399999976158142</v>
      </c>
      <c r="K12" s="10" t="str">
        <f>LOOKUP(C12,'Texture Codes'!$A$1:$A$89,'Texture Codes'!$C$1:$C$89)</f>
        <v>3</v>
      </c>
      <c r="L12" s="6">
        <f t="shared" si="0"/>
        <v>0.4386792536501615</v>
      </c>
      <c r="M12" s="6">
        <f>2.2+(0.541*(LN(K12)))+(0.355*E12)-(0.19*F12)</f>
        <v>3.2383492526994004</v>
      </c>
      <c r="N12" s="6">
        <f t="shared" si="4"/>
        <v>-0.1347383293845583</v>
      </c>
      <c r="O12" s="6">
        <f t="shared" si="8"/>
        <v>7.421793075271759</v>
      </c>
      <c r="P12" s="6">
        <f t="shared" si="5"/>
        <v>17.795620519503885</v>
      </c>
      <c r="Q12" s="6">
        <f>2.116+(0.323*(LN(K12)))+(0.27*E12)-(0.485*(LN(F12)))+(0.124*F12)+(0.056*K12)</f>
        <v>3.189262739781622</v>
      </c>
      <c r="R12" s="6">
        <f>-0.295+(0.0442*E12)+(0.132*(LN(F12)))+(0.0787*(LN(K12)))-(0.0278*F12)</f>
        <v>-0.1146448792329626</v>
      </c>
      <c r="S12" s="6">
        <f t="shared" si="6"/>
        <v>8.722587582546652</v>
      </c>
      <c r="T12" s="6">
        <f t="shared" si="7"/>
        <v>5.7240424222092825</v>
      </c>
      <c r="V12" s="1">
        <f>IF(ISBLANK($F12),"",IF(P12&gt;100,$L12,($L12*(100/$P12)^(-1/$O12))))</f>
        <v>0.34764464200533396</v>
      </c>
      <c r="W12" s="1">
        <f t="shared" si="1"/>
        <v>0.17698344297908583</v>
      </c>
      <c r="X12" s="2">
        <f>IF(ISBLANK(F12),"",(V12-W12)*1000)</f>
        <v>170.66119902624814</v>
      </c>
      <c r="Y12" s="2">
        <f>IF(ISBLANK(F12),"",X12*$D12)</f>
        <v>85.33059951312407</v>
      </c>
      <c r="Z12" s="2"/>
      <c r="AA12" s="1">
        <f>IF(ISBLANK($F12),"",IF($T12&gt;100,$L12,($L12*(100/$T12)^(-1/$S12))))</f>
        <v>0.31602692722238807</v>
      </c>
      <c r="AB12" s="1">
        <f>IF(ISBLANK($F12),"",IF($T12&gt;15000,$L12,($L12*(15000/$T12)^(-1/$S12))))</f>
        <v>0.17792884879569176</v>
      </c>
      <c r="AC12" s="2">
        <f>IF(ISBLANK(F12),"",(AA12-AB12)*1000)</f>
        <v>138.0980784266963</v>
      </c>
      <c r="AD12" s="2">
        <f>IF(ISBLANK(F12),"",AC12*$D12)</f>
        <v>69.04903921334815</v>
      </c>
      <c r="AF12" s="1">
        <f t="shared" si="2"/>
      </c>
      <c r="AG12" s="1">
        <f t="shared" si="3"/>
      </c>
    </row>
    <row r="13" spans="1:33" ht="12.75">
      <c r="A13" s="11" t="s">
        <v>54</v>
      </c>
      <c r="B13" s="11">
        <v>1</v>
      </c>
      <c r="C13" s="11" t="s">
        <v>81</v>
      </c>
      <c r="D13" s="12">
        <v>0.5</v>
      </c>
      <c r="E13" s="13">
        <v>2</v>
      </c>
      <c r="F13" s="12">
        <v>1.399999976158142</v>
      </c>
      <c r="K13" s="10" t="str">
        <f>LOOKUP(C13,'Texture Codes'!$A$1:$A$89,'Texture Codes'!$C$1:$C$89)</f>
        <v>1</v>
      </c>
      <c r="L13" s="6">
        <f t="shared" si="0"/>
        <v>0.4386792536501615</v>
      </c>
      <c r="M13" s="6">
        <f>2.2+(0.541*(LN(K13)))+(0.355*E13)-(0.19*F13)</f>
        <v>2.644000004529953</v>
      </c>
      <c r="N13" s="6">
        <f t="shared" si="4"/>
        <v>-0.268</v>
      </c>
      <c r="O13" s="6">
        <f t="shared" si="8"/>
        <v>3.731343283582089</v>
      </c>
      <c r="P13" s="6">
        <f t="shared" si="5"/>
        <v>14.36124941208084</v>
      </c>
      <c r="Q13" s="6">
        <f>2.116+(0.323*(LN(K13)))+(0.27*E13)-(0.485*(LN(F13)))+(0.124*F13)+(0.056*K13)</f>
        <v>2.7224109705418225</v>
      </c>
      <c r="R13" s="6">
        <f>-0.295+(0.0442*E13)+(0.132*(LN(F13)))+(0.0787*(LN(K13)))-(0.0278*F13)</f>
        <v>-0.20110566635114285</v>
      </c>
      <c r="S13" s="6">
        <f t="shared" si="6"/>
        <v>4.972510313329206</v>
      </c>
      <c r="T13" s="6">
        <f t="shared" si="7"/>
        <v>5.170649643275564</v>
      </c>
      <c r="V13" s="1">
        <f>IF(ISBLANK($F13),"",IF(P13&gt;100,$L13,($L13*(100/$P13)^(-1/$O13))))</f>
        <v>0.26078019883206754</v>
      </c>
      <c r="W13" s="1">
        <f t="shared" si="1"/>
        <v>0.06808981507691686</v>
      </c>
      <c r="X13" s="2">
        <f>IF(ISBLANK(F13),"",(V13-W13)*1000)</f>
        <v>192.6903837551507</v>
      </c>
      <c r="Y13" s="2">
        <f>IF(ISBLANK(F13),"",X13*$D13)</f>
        <v>96.34519187757535</v>
      </c>
      <c r="Z13" s="2"/>
      <c r="AA13" s="1">
        <f>IF(ISBLANK($F13),"",IF($T13&gt;100,$L13,($L13*(100/$T13)^(-1/$S13))))</f>
        <v>0.24178743514400028</v>
      </c>
      <c r="AB13" s="1">
        <f>IF(ISBLANK($F13),"",IF($T13&gt;15000,$L13,($L13*(15000/$T13)^(-1/$S13))))</f>
        <v>0.08826925185301858</v>
      </c>
      <c r="AC13" s="2">
        <f>IF(ISBLANK(F13),"",(AA13-AB13)*1000)</f>
        <v>153.5181832909817</v>
      </c>
      <c r="AD13" s="2">
        <f>IF(ISBLANK(F13),"",AC13*$D13)</f>
        <v>76.75909164549086</v>
      </c>
      <c r="AF13" s="1">
        <f t="shared" si="2"/>
      </c>
      <c r="AG13" s="1">
        <f t="shared" si="3"/>
      </c>
    </row>
    <row r="14" spans="1:33" ht="12.75">
      <c r="A14" s="11" t="s">
        <v>55</v>
      </c>
      <c r="B14" s="11">
        <v>1</v>
      </c>
      <c r="C14" s="11" t="s">
        <v>122</v>
      </c>
      <c r="D14" s="12">
        <v>0.30000001192092896</v>
      </c>
      <c r="E14" s="13">
        <v>2</v>
      </c>
      <c r="F14" s="12">
        <v>1.399999976158142</v>
      </c>
      <c r="K14" s="10" t="str">
        <f>LOOKUP(C14,'Texture Codes'!$A$1:$A$89,'Texture Codes'!$C$1:$C$89)</f>
        <v>3</v>
      </c>
      <c r="L14" s="6">
        <f t="shared" si="0"/>
        <v>0.4386792536501615</v>
      </c>
      <c r="M14" s="6">
        <f>2.2+(0.541*(LN(K14)))+(0.355*E14)-(0.19*F14)</f>
        <v>3.2383492526994004</v>
      </c>
      <c r="N14" s="6">
        <f t="shared" si="4"/>
        <v>-0.1347383293845583</v>
      </c>
      <c r="O14" s="6">
        <f t="shared" si="8"/>
        <v>7.421793075271759</v>
      </c>
      <c r="P14" s="6">
        <f t="shared" si="5"/>
        <v>17.795620519503885</v>
      </c>
      <c r="Q14" s="6">
        <f>2.116+(0.323*(LN(K14)))+(0.27*E14)-(0.485*(LN(F14)))+(0.124*F14)+(0.056*K14)</f>
        <v>3.189262739781622</v>
      </c>
      <c r="R14" s="6">
        <f>-0.295+(0.0442*E14)+(0.132*(LN(F14)))+(0.0787*(LN(K14)))-(0.0278*F14)</f>
        <v>-0.1146448792329626</v>
      </c>
      <c r="S14" s="6">
        <f t="shared" si="6"/>
        <v>8.722587582546652</v>
      </c>
      <c r="T14" s="6">
        <f t="shared" si="7"/>
        <v>5.7240424222092825</v>
      </c>
      <c r="V14" s="1">
        <f>IF(ISBLANK($F14),"",IF(P14&gt;100,$L14,($L14*(100/$P14)^(-1/$O14))))</f>
        <v>0.34764464200533396</v>
      </c>
      <c r="W14" s="1">
        <f t="shared" si="1"/>
        <v>0.17698344297908583</v>
      </c>
      <c r="X14" s="2">
        <f>IF(ISBLANK(F14),"",(V14-W14)*1000)</f>
        <v>170.66119902624814</v>
      </c>
      <c r="Y14" s="2">
        <f>IF(ISBLANK(F14),"",X14*$D14)</f>
        <v>51.19836174231447</v>
      </c>
      <c r="Z14" s="2"/>
      <c r="AA14" s="1">
        <f>IF(ISBLANK($F14),"",IF($T14&gt;100,$L14,($L14*(100/$T14)^(-1/$S14))))</f>
        <v>0.31602692722238807</v>
      </c>
      <c r="AB14" s="1">
        <f>IF(ISBLANK($F14),"",IF($T14&gt;15000,$L14,($L14*(15000/$T14)^(-1/$S14))))</f>
        <v>0.17792884879569176</v>
      </c>
      <c r="AC14" s="2">
        <f>IF(ISBLANK(F14),"",(AA14-AB14)*1000)</f>
        <v>138.0980784266963</v>
      </c>
      <c r="AD14" s="2">
        <f>IF(ISBLANK(F14),"",AC14*$D14)</f>
        <v>41.42942517426627</v>
      </c>
      <c r="AF14" s="1">
        <f t="shared" si="2"/>
      </c>
      <c r="AG14" s="1">
        <f t="shared" si="3"/>
      </c>
    </row>
    <row r="15" spans="1:33" ht="12.75">
      <c r="A15" s="11" t="s">
        <v>56</v>
      </c>
      <c r="B15" s="11">
        <v>1</v>
      </c>
      <c r="C15" s="11" t="s">
        <v>160</v>
      </c>
      <c r="D15" s="12">
        <v>0.4000000059604645</v>
      </c>
      <c r="E15" s="13">
        <v>2</v>
      </c>
      <c r="F15" s="12">
        <v>1.399999976158142</v>
      </c>
      <c r="K15" s="10" t="str">
        <f>LOOKUP(C15,'Texture Codes'!$A$1:$A$89,'Texture Codes'!$C$1:$C$89)</f>
        <v>4</v>
      </c>
      <c r="L15" s="6">
        <f t="shared" si="0"/>
        <v>0.4386792536501615</v>
      </c>
      <c r="M15" s="6">
        <f>2.2+(0.541*(LN(K15)))+(0.355*E15)-(0.19*F15)</f>
        <v>3.393985253895814</v>
      </c>
      <c r="N15" s="6">
        <f t="shared" si="4"/>
        <v>-0.09984249399615727</v>
      </c>
      <c r="O15" s="6">
        <f t="shared" si="8"/>
        <v>10.015775447661472</v>
      </c>
      <c r="P15" s="6">
        <f t="shared" si="5"/>
        <v>20.69030758592426</v>
      </c>
      <c r="Q15" s="6">
        <f>2.116+(0.323*(LN(K15)))+(0.27*E15)-(0.485*(LN(F15)))+(0.124*F15)+(0.056*K15)</f>
        <v>3.338184049183547</v>
      </c>
      <c r="R15" s="6">
        <f>-0.295+(0.0442*E15)+(0.132*(LN(F15)))+(0.0787*(LN(K15)))-(0.0278*F15)</f>
        <v>-0.09200430013100744</v>
      </c>
      <c r="S15" s="6">
        <f t="shared" si="6"/>
        <v>10.86905719163205</v>
      </c>
      <c r="T15" s="6">
        <f t="shared" si="7"/>
        <v>8.107339343490429</v>
      </c>
      <c r="V15" s="1">
        <f>IF(ISBLANK($F15),"",IF(P15&gt;100,$L15,($L15*(100/$P15)^(-1/$O15))))</f>
        <v>0.3748275993573395</v>
      </c>
      <c r="W15" s="1">
        <f t="shared" si="1"/>
        <v>0.2272820735756035</v>
      </c>
      <c r="X15" s="2">
        <f>IF(ISBLANK(F15),"",(V15-W15)*1000)</f>
        <v>147.545525781736</v>
      </c>
      <c r="Y15" s="2">
        <f>IF(ISBLANK(F15),"",X15*$D15)</f>
        <v>59.01821119213426</v>
      </c>
      <c r="Z15" s="2"/>
      <c r="AA15" s="1">
        <f>IF(ISBLANK($F15),"",IF($T15&gt;100,$L15,($L15*(100/$T15)^(-1/$S15))))</f>
        <v>0.3481442384304808</v>
      </c>
      <c r="AB15" s="1">
        <f>IF(ISBLANK($F15),"",IF($T15&gt;15000,$L15,($L15*(15000/$T15)^(-1/$S15))))</f>
        <v>0.21955809752608146</v>
      </c>
      <c r="AC15" s="2">
        <f>IF(ISBLANK(F15),"",(AA15-AB15)*1000)</f>
        <v>128.58614090439934</v>
      </c>
      <c r="AD15" s="2">
        <f>IF(ISBLANK(F15),"",AC15*$D15)</f>
        <v>51.43445712819286</v>
      </c>
      <c r="AF15" s="1">
        <f t="shared" si="2"/>
      </c>
      <c r="AG15" s="1">
        <f t="shared" si="3"/>
      </c>
    </row>
    <row r="16" spans="1:33" ht="12.75">
      <c r="A16" s="11" t="s">
        <v>57</v>
      </c>
      <c r="B16" s="11">
        <v>1</v>
      </c>
      <c r="C16" s="11" t="s">
        <v>68</v>
      </c>
      <c r="D16" s="12">
        <v>0.20000000298023224</v>
      </c>
      <c r="E16" s="13">
        <v>1</v>
      </c>
      <c r="F16" s="12">
        <v>1.399999976158142</v>
      </c>
      <c r="K16" s="10" t="str">
        <f>LOOKUP(C16,'Texture Codes'!$A$1:$A$89,'Texture Codes'!$C$1:$C$89)</f>
        <v>1</v>
      </c>
      <c r="L16" s="6">
        <f t="shared" si="0"/>
        <v>0.4386792536501615</v>
      </c>
      <c r="M16" s="6">
        <f>2.2+(0.541*(LN(K16)))+(0.355*E16)-(0.19*F16)</f>
        <v>2.289000004529953</v>
      </c>
      <c r="N16" s="6">
        <f t="shared" si="4"/>
        <v>-0.268</v>
      </c>
      <c r="O16" s="6">
        <f t="shared" si="8"/>
        <v>3.731343283582089</v>
      </c>
      <c r="P16" s="6">
        <f t="shared" si="5"/>
        <v>3.818687207428177</v>
      </c>
      <c r="Q16" s="6">
        <f>2.116+(0.323*(LN(K16)))+(0.27*E16)-(0.485*(LN(F16)))+(0.124*F16)+(0.056*K16)</f>
        <v>2.4524109705418224</v>
      </c>
      <c r="R16" s="6">
        <f>-0.295+(0.0442*E16)+(0.132*(LN(F16)))+(0.0787*(LN(K16)))-(0.0278*F16)</f>
        <v>-0.24530566635114281</v>
      </c>
      <c r="S16" s="6">
        <f t="shared" si="6"/>
        <v>4.076546681023462</v>
      </c>
      <c r="T16" s="6">
        <f t="shared" si="7"/>
        <v>4.441323181354921</v>
      </c>
      <c r="V16" s="1">
        <f>IF(ISBLANK($F16),"",IF(P16&gt;100,$L16,($L16*(100/$P16)^(-1/$O16))))</f>
        <v>0.18285214993569698</v>
      </c>
      <c r="W16" s="1">
        <f t="shared" si="1"/>
        <v>0.047742770084916765</v>
      </c>
      <c r="X16" s="2">
        <f>IF(ISBLANK(F16),"",(V16-W16)*1000)</f>
        <v>135.10937985078021</v>
      </c>
      <c r="Y16" s="2">
        <f>IF(ISBLANK(F16),"",X16*$D16)</f>
        <v>27.021876372813374</v>
      </c>
      <c r="Z16" s="2"/>
      <c r="AA16" s="1">
        <f>IF(ISBLANK($F16),"",IF($T16&gt;100,$L16,($L16*(100/$T16)^(-1/$S16))))</f>
        <v>0.2043498005734394</v>
      </c>
      <c r="AB16" s="1">
        <f>IF(ISBLANK($F16),"",IF($T16&gt;15000,$L16,($L16*(15000/$T16)^(-1/$S16))))</f>
        <v>0.05978148540716646</v>
      </c>
      <c r="AC16" s="2">
        <f>IF(ISBLANK(F16),"",(AA16-AB16)*1000)</f>
        <v>144.56831516627295</v>
      </c>
      <c r="AD16" s="2">
        <f>IF(ISBLANK(F16),"",AC16*$D16)</f>
        <v>28.913663464101745</v>
      </c>
      <c r="AF16" s="1">
        <f t="shared" si="2"/>
      </c>
      <c r="AG16" s="1">
        <f t="shared" si="3"/>
      </c>
    </row>
    <row r="17" spans="1:33" ht="12.75">
      <c r="A17" s="11" t="s">
        <v>58</v>
      </c>
      <c r="B17" s="11">
        <v>1</v>
      </c>
      <c r="C17" s="11" t="s">
        <v>68</v>
      </c>
      <c r="D17" s="12">
        <v>0.20000000298023224</v>
      </c>
      <c r="E17" s="13">
        <v>2</v>
      </c>
      <c r="F17" s="12">
        <v>1.399999976158142</v>
      </c>
      <c r="K17" s="10" t="str">
        <f>LOOKUP(C17,'Texture Codes'!$A$1:$A$89,'Texture Codes'!$C$1:$C$89)</f>
        <v>1</v>
      </c>
      <c r="L17" s="6">
        <f t="shared" si="0"/>
        <v>0.4386792536501615</v>
      </c>
      <c r="M17" s="6">
        <f>2.2+(0.541*(LN(K17)))+(0.355*E17)-(0.19*F17)</f>
        <v>2.644000004529953</v>
      </c>
      <c r="N17" s="6">
        <f t="shared" si="4"/>
        <v>-0.268</v>
      </c>
      <c r="O17" s="6">
        <f t="shared" si="8"/>
        <v>3.731343283582089</v>
      </c>
      <c r="P17" s="6">
        <f t="shared" si="5"/>
        <v>14.36124941208084</v>
      </c>
      <c r="Q17" s="6">
        <f>2.116+(0.323*(LN(K17)))+(0.27*E17)-(0.485*(LN(F17)))+(0.124*F17)+(0.056*K17)</f>
        <v>2.7224109705418225</v>
      </c>
      <c r="R17" s="6">
        <f>-0.295+(0.0442*E17)+(0.132*(LN(F17)))+(0.0787*(LN(K17)))-(0.0278*F17)</f>
        <v>-0.20110566635114285</v>
      </c>
      <c r="S17" s="6">
        <f t="shared" si="6"/>
        <v>4.972510313329206</v>
      </c>
      <c r="T17" s="6">
        <f t="shared" si="7"/>
        <v>5.170649643275564</v>
      </c>
      <c r="V17" s="1">
        <f>IF(ISBLANK($F17),"",IF(P17&gt;100,$L17,($L17*(100/$P17)^(-1/$O17))))</f>
        <v>0.26078019883206754</v>
      </c>
      <c r="W17" s="1">
        <f t="shared" si="1"/>
        <v>0.06808981507691686</v>
      </c>
      <c r="X17" s="2">
        <f>IF(ISBLANK(F17),"",(V17-W17)*1000)</f>
        <v>192.6903837551507</v>
      </c>
      <c r="Y17" s="2">
        <f>IF(ISBLANK(F17),"",X17*$D17)</f>
        <v>38.538077325292235</v>
      </c>
      <c r="Z17" s="2"/>
      <c r="AA17" s="1">
        <f>IF(ISBLANK($F17),"",IF($T17&gt;100,$L17,($L17*(100/$T17)^(-1/$S17))))</f>
        <v>0.24178743514400028</v>
      </c>
      <c r="AB17" s="1">
        <f>IF(ISBLANK($F17),"",IF($T17&gt;15000,$L17,($L17*(15000/$T17)^(-1/$S17))))</f>
        <v>0.08826925185301858</v>
      </c>
      <c r="AC17" s="2">
        <f>IF(ISBLANK(F17),"",(AA17-AB17)*1000)</f>
        <v>153.5181832909817</v>
      </c>
      <c r="AD17" s="2">
        <f>IF(ISBLANK(F17),"",AC17*$D17)</f>
        <v>30.70363711571618</v>
      </c>
      <c r="AF17" s="1">
        <f t="shared" si="2"/>
      </c>
      <c r="AG17" s="1">
        <f t="shared" si="3"/>
      </c>
    </row>
    <row r="18" spans="1:33" ht="12.75">
      <c r="A18" s="11" t="s">
        <v>59</v>
      </c>
      <c r="B18" s="11">
        <v>1</v>
      </c>
      <c r="C18" s="11" t="s">
        <v>105</v>
      </c>
      <c r="D18" s="12">
        <v>0.4000000059604645</v>
      </c>
      <c r="E18" s="13">
        <v>2</v>
      </c>
      <c r="F18" s="12">
        <v>1.5</v>
      </c>
      <c r="K18" s="10" t="str">
        <f>LOOKUP(C18,'Texture Codes'!$A$1:$A$89,'Texture Codes'!$C$1:$C$89)</f>
        <v>2</v>
      </c>
      <c r="L18" s="6">
        <f t="shared" si="0"/>
        <v>0.4035849056603774</v>
      </c>
      <c r="M18" s="6">
        <f>2.2+(0.541*(LN(K18)))+(0.355*E18)-(0.19*F18)</f>
        <v>2.9999926246829305</v>
      </c>
      <c r="N18" s="6">
        <f t="shared" si="4"/>
        <v>-0.18392124699807866</v>
      </c>
      <c r="O18" s="6">
        <f t="shared" si="8"/>
        <v>5.437109721262637</v>
      </c>
      <c r="P18" s="6">
        <f t="shared" si="5"/>
        <v>22.503936570184823</v>
      </c>
      <c r="Q18" s="6">
        <f>2.116+(0.323*(LN(K18)))+(0.27*E18)-(0.485*(LN(F18)))+(0.124*F18)+(0.056*K18)</f>
        <v>2.981235961888403</v>
      </c>
      <c r="R18" s="6">
        <f>-0.295+(0.0442*E18)+(0.132*(LN(F18)))+(0.0787*(LN(K18)))-(0.0278*F18)</f>
        <v>-0.14022792261965455</v>
      </c>
      <c r="S18" s="6">
        <f t="shared" si="6"/>
        <v>7.131247338751052</v>
      </c>
      <c r="T18" s="6">
        <f t="shared" si="7"/>
        <v>6.036033462940013</v>
      </c>
      <c r="V18" s="1">
        <f>IF(ISBLANK($F18),"",IF(P18&gt;100,$L18,($L18*(100/$P18)^(-1/$O18))))</f>
        <v>0.30676194989637207</v>
      </c>
      <c r="W18" s="1">
        <f t="shared" si="1"/>
        <v>0.12205963633992253</v>
      </c>
      <c r="X18" s="2">
        <f>IF(ISBLANK(F18),"",(V18-W18)*1000)</f>
        <v>184.70231355644952</v>
      </c>
      <c r="Y18" s="2">
        <f>IF(ISBLANK(F18),"",X18*$D18)</f>
        <v>73.88092652349138</v>
      </c>
      <c r="Z18" s="2"/>
      <c r="AA18" s="1">
        <f>IF(ISBLANK($F18),"",IF($T18&gt;100,$L18,($L18*(100/$T18)^(-1/$S18))))</f>
        <v>0.2722464654869302</v>
      </c>
      <c r="AB18" s="1">
        <f>IF(ISBLANK($F18),"",IF($T18&gt;15000,$L18,($L18*(15000/$T18)^(-1/$S18))))</f>
        <v>0.13483836985712813</v>
      </c>
      <c r="AC18" s="2">
        <f>IF(ISBLANK(F18),"",(AA18-AB18)*1000)</f>
        <v>137.4080956298021</v>
      </c>
      <c r="AD18" s="2">
        <f>IF(ISBLANK(F18),"",AC18*$D18)</f>
        <v>54.96323907093691</v>
      </c>
      <c r="AF18" s="1">
        <f t="shared" si="2"/>
      </c>
      <c r="AG18" s="1">
        <f t="shared" si="3"/>
      </c>
    </row>
    <row r="19" spans="1:33" ht="12.75">
      <c r="A19" s="11" t="s">
        <v>60</v>
      </c>
      <c r="B19" s="11">
        <v>1</v>
      </c>
      <c r="C19" s="11" t="s">
        <v>68</v>
      </c>
      <c r="D19" s="12">
        <v>0.5</v>
      </c>
      <c r="E19" s="13">
        <v>2</v>
      </c>
      <c r="F19" s="12">
        <v>1.5</v>
      </c>
      <c r="K19" s="10" t="str">
        <f>LOOKUP(C19,'Texture Codes'!$A$1:$A$89,'Texture Codes'!$C$1:$C$89)</f>
        <v>1</v>
      </c>
      <c r="L19" s="6">
        <f t="shared" si="0"/>
        <v>0.4035849056603774</v>
      </c>
      <c r="M19" s="6">
        <f>2.2+(0.541*(LN(K19)))+(0.355*E19)-(0.19*F19)</f>
        <v>2.625</v>
      </c>
      <c r="N19" s="6">
        <f t="shared" si="4"/>
        <v>-0.268</v>
      </c>
      <c r="O19" s="6">
        <f t="shared" si="8"/>
        <v>3.731343283582089</v>
      </c>
      <c r="P19" s="6">
        <f t="shared" si="5"/>
        <v>18.26092451713483</v>
      </c>
      <c r="Q19" s="6">
        <f>2.116+(0.323*(LN(K19)))+(0.27*E19)-(0.485*(LN(F19)))+(0.124*F19)+(0.056*K19)</f>
        <v>2.7013494225675405</v>
      </c>
      <c r="R19" s="6">
        <f>-0.295+(0.0442*E19)+(0.132*(LN(F19)))+(0.0787*(LN(K19)))-(0.0278*F19)</f>
        <v>-0.19477860572972228</v>
      </c>
      <c r="S19" s="6">
        <f t="shared" si="6"/>
        <v>5.134034080660866</v>
      </c>
      <c r="T19" s="6">
        <f t="shared" si="7"/>
        <v>6.001052295514155</v>
      </c>
      <c r="V19" s="1">
        <f>IF(ISBLANK($F19),"",IF(P19&gt;100,$L19,($L19*(100/$P19)^(-1/$O19))))</f>
        <v>0.25587214801651137</v>
      </c>
      <c r="W19" s="1">
        <f t="shared" si="1"/>
        <v>0.06680832102976131</v>
      </c>
      <c r="X19" s="2">
        <f>IF(ISBLANK(F19),"",(V19-W19)*1000)</f>
        <v>189.06382698675006</v>
      </c>
      <c r="Y19" s="2">
        <f>IF(ISBLANK(F19),"",X19*$D19)</f>
        <v>94.53191349337503</v>
      </c>
      <c r="Z19" s="2"/>
      <c r="AA19" s="1">
        <f>IF(ISBLANK($F19),"",IF($T19&gt;100,$L19,($L19*(100/$T19)^(-1/$S19))))</f>
        <v>0.23332418291995957</v>
      </c>
      <c r="AB19" s="1">
        <f>IF(ISBLANK($F19),"",IF($T19&gt;15000,$L19,($L19*(15000/$T19)^(-1/$S19))))</f>
        <v>0.0879232498513684</v>
      </c>
      <c r="AC19" s="2">
        <f>IF(ISBLANK(F19),"",(AA19-AB19)*1000)</f>
        <v>145.40093306859117</v>
      </c>
      <c r="AD19" s="2">
        <f>IF(ISBLANK(F19),"",AC19*$D19)</f>
        <v>72.70046653429559</v>
      </c>
      <c r="AF19" s="1">
        <f t="shared" si="2"/>
      </c>
      <c r="AG19" s="1">
        <f t="shared" si="3"/>
      </c>
    </row>
    <row r="20" spans="1:33" ht="12.75">
      <c r="A20" s="11" t="s">
        <v>61</v>
      </c>
      <c r="B20" s="11">
        <v>1</v>
      </c>
      <c r="C20" s="11" t="s">
        <v>105</v>
      </c>
      <c r="D20" s="12">
        <v>0.4000000059604645</v>
      </c>
      <c r="E20" s="13">
        <v>2</v>
      </c>
      <c r="F20" s="12">
        <v>1.5</v>
      </c>
      <c r="K20" s="10" t="str">
        <f>LOOKUP(C20,'Texture Codes'!$A$1:$A$89,'Texture Codes'!$C$1:$C$89)</f>
        <v>2</v>
      </c>
      <c r="L20" s="6">
        <f t="shared" si="0"/>
        <v>0.4035849056603774</v>
      </c>
      <c r="M20" s="6">
        <f>2.2+(0.541*(LN(K20)))+(0.355*E20)-(0.19*F20)</f>
        <v>2.9999926246829305</v>
      </c>
      <c r="N20" s="6">
        <f t="shared" si="4"/>
        <v>-0.18392124699807866</v>
      </c>
      <c r="O20" s="6">
        <f t="shared" si="8"/>
        <v>5.437109721262637</v>
      </c>
      <c r="P20" s="6">
        <f t="shared" si="5"/>
        <v>22.503936570184823</v>
      </c>
      <c r="Q20" s="6">
        <f>2.116+(0.323*(LN(K20)))+(0.27*E20)-(0.485*(LN(F20)))+(0.124*F20)+(0.056*K20)</f>
        <v>2.981235961888403</v>
      </c>
      <c r="R20" s="6">
        <f>-0.295+(0.0442*E20)+(0.132*(LN(F20)))+(0.0787*(LN(K20)))-(0.0278*F20)</f>
        <v>-0.14022792261965455</v>
      </c>
      <c r="S20" s="6">
        <f t="shared" si="6"/>
        <v>7.131247338751052</v>
      </c>
      <c r="T20" s="6">
        <f t="shared" si="7"/>
        <v>6.036033462940013</v>
      </c>
      <c r="V20" s="1">
        <f>IF(ISBLANK($F20),"",IF(P20&gt;100,$L20,($L20*(100/$P20)^(-1/$O20))))</f>
        <v>0.30676194989637207</v>
      </c>
      <c r="W20" s="1">
        <f t="shared" si="1"/>
        <v>0.12205963633992253</v>
      </c>
      <c r="X20" s="2">
        <f>IF(ISBLANK(F20),"",(V20-W20)*1000)</f>
        <v>184.70231355644952</v>
      </c>
      <c r="Y20" s="2">
        <f>IF(ISBLANK(F20),"",X20*$D20)</f>
        <v>73.88092652349138</v>
      </c>
      <c r="Z20" s="2"/>
      <c r="AA20" s="1">
        <f>IF(ISBLANK($F20),"",IF($T20&gt;100,$L20,($L20*(100/$T20)^(-1/$S20))))</f>
        <v>0.2722464654869302</v>
      </c>
      <c r="AB20" s="1">
        <f>IF(ISBLANK($F20),"",IF($T20&gt;15000,$L20,($L20*(15000/$T20)^(-1/$S20))))</f>
        <v>0.13483836985712813</v>
      </c>
      <c r="AC20" s="2">
        <f>IF(ISBLANK(F20),"",(AA20-AB20)*1000)</f>
        <v>137.4080956298021</v>
      </c>
      <c r="AD20" s="2">
        <f>IF(ISBLANK(F20),"",AC20*$D20)</f>
        <v>54.96323907093691</v>
      </c>
      <c r="AF20" s="1">
        <f t="shared" si="2"/>
      </c>
      <c r="AG20" s="1">
        <f t="shared" si="3"/>
      </c>
    </row>
    <row r="21" spans="1:33" ht="12.75">
      <c r="A21" s="11" t="s">
        <v>62</v>
      </c>
      <c r="B21" s="11">
        <v>1</v>
      </c>
      <c r="C21" s="11" t="s">
        <v>230</v>
      </c>
      <c r="D21" s="12">
        <v>0.5</v>
      </c>
      <c r="E21" s="13">
        <v>2</v>
      </c>
      <c r="F21" s="12">
        <v>1.5</v>
      </c>
      <c r="K21" s="10" t="str">
        <f>LOOKUP(C21,'Texture Codes'!$A$1:$A$89,'Texture Codes'!$C$1:$C$89)</f>
        <v>6</v>
      </c>
      <c r="L21" s="6">
        <f t="shared" si="0"/>
        <v>0.4035849056603774</v>
      </c>
      <c r="M21" s="6">
        <f>2.2+(0.541*(LN(K21)))+(0.355*E21)-(0.19*F21)</f>
        <v>3.594341872852378</v>
      </c>
      <c r="N21" s="6">
        <f t="shared" si="4"/>
        <v>-0.050659576382636934</v>
      </c>
      <c r="O21" s="6">
        <f t="shared" si="8"/>
        <v>19.739604461886895</v>
      </c>
      <c r="P21" s="6">
        <f t="shared" si="5"/>
        <v>129.73544359537775</v>
      </c>
      <c r="Q21" s="6">
        <f>2.116+(0.323*(LN(K21)))+(0.27*E21)-(0.485*(LN(F21)))+(0.124*F21)+(0.056*K21)</f>
        <v>3.560087731128202</v>
      </c>
      <c r="R21" s="6">
        <f>-0.295+(0.0442*E21)+(0.132*(LN(F21)))+(0.0787*(LN(K21)))-(0.0278*F21)</f>
        <v>-0.053767135501474314</v>
      </c>
      <c r="S21" s="6">
        <f t="shared" si="6"/>
        <v>18.5987218897421</v>
      </c>
      <c r="T21" s="6">
        <f t="shared" si="7"/>
        <v>77.20387845797926</v>
      </c>
      <c r="V21" s="1">
        <f>IF(ISBLANK($F21),"",IF(P21&gt;100,$L21,($L21*(100/$P21)^(-1/$O21))))</f>
        <v>0.4035849056603774</v>
      </c>
      <c r="W21" s="1">
        <f t="shared" si="1"/>
        <v>0.317265286501536</v>
      </c>
      <c r="X21" s="2">
        <f>IF(ISBLANK(F21),"",(V21-W21)*1000)</f>
        <v>86.3196191588414</v>
      </c>
      <c r="Y21" s="2">
        <f>IF(ISBLANK(F21),"",X21*$D21)</f>
        <v>43.1598095794207</v>
      </c>
      <c r="Z21" s="2"/>
      <c r="AA21" s="1">
        <f>IF(ISBLANK($F21),"",IF($T21&gt;100,$L21,($L21*(100/$T21)^(-1/$S21))))</f>
        <v>0.39800964108429543</v>
      </c>
      <c r="AB21" s="1">
        <f>IF(ISBLANK($F21),"",IF($T21&gt;15000,$L21,($L21*(15000/$T21)^(-1/$S21))))</f>
        <v>0.30401247052077734</v>
      </c>
      <c r="AC21" s="2">
        <f>IF(ISBLANK(F21),"",(AA21-AB21)*1000)</f>
        <v>93.99717056351808</v>
      </c>
      <c r="AD21" s="2">
        <f>IF(ISBLANK(F21),"",AC21*$D21)</f>
        <v>46.99858528175904</v>
      </c>
      <c r="AF21" s="1">
        <f t="shared" si="2"/>
      </c>
      <c r="AG21" s="1">
        <f t="shared" si="3"/>
      </c>
    </row>
    <row r="22" spans="1:33" ht="12.75">
      <c r="A22" s="11" t="s">
        <v>63</v>
      </c>
      <c r="B22" s="11">
        <v>1</v>
      </c>
      <c r="C22" s="11" t="s">
        <v>128</v>
      </c>
      <c r="D22" s="12">
        <v>0.15000000596046448</v>
      </c>
      <c r="E22" s="13">
        <v>2</v>
      </c>
      <c r="F22" s="12">
        <v>1.5</v>
      </c>
      <c r="K22" s="10" t="str">
        <f>LOOKUP(C22,'Texture Codes'!$A$1:$A$89,'Texture Codes'!$C$1:$C$89)</f>
        <v>3</v>
      </c>
      <c r="L22" s="6">
        <f t="shared" si="0"/>
        <v>0.4035849056603774</v>
      </c>
      <c r="M22" s="6">
        <f>2.2+(0.541*(LN(K22)))+(0.355*E22)-(0.19*F22)</f>
        <v>3.2193492481694475</v>
      </c>
      <c r="N22" s="6">
        <f t="shared" si="4"/>
        <v>-0.1347383293845583</v>
      </c>
      <c r="O22" s="6">
        <f t="shared" si="8"/>
        <v>7.421793075271759</v>
      </c>
      <c r="P22" s="6">
        <f t="shared" si="5"/>
        <v>28.69662374026175</v>
      </c>
      <c r="Q22" s="6">
        <f>2.116+(0.323*(LN(K22)))+(0.27*E22)-(0.485*(LN(F22)))+(0.124*F22)+(0.056*K22)</f>
        <v>3.16820119180734</v>
      </c>
      <c r="R22" s="6">
        <f>-0.295+(0.0442*E22)+(0.132*(LN(F22)))+(0.0787*(LN(K22)))-(0.0278*F22)</f>
        <v>-0.10831781861154202</v>
      </c>
      <c r="S22" s="6">
        <f t="shared" si="6"/>
        <v>9.232091384578927</v>
      </c>
      <c r="T22" s="6">
        <f t="shared" si="7"/>
        <v>7.526529968816391</v>
      </c>
      <c r="V22" s="1">
        <f>IF(ISBLANK($F22),"",IF(P22&gt;100,$L22,($L22*(100/$P22)^(-1/$O22))))</f>
        <v>0.3411017465847473</v>
      </c>
      <c r="W22" s="1">
        <f t="shared" si="1"/>
        <v>0.17365250092311785</v>
      </c>
      <c r="X22" s="2">
        <f>IF(ISBLANK(F22),"",(V22-W22)*1000)</f>
        <v>167.44924566162945</v>
      </c>
      <c r="Y22" s="2">
        <f>IF(ISBLANK(F22),"",X22*$D22)</f>
        <v>25.117387847319698</v>
      </c>
      <c r="Z22" s="2"/>
      <c r="AA22" s="1">
        <f>IF(ISBLANK($F22),"",IF($T22&gt;100,$L22,($L22*(100/$T22)^(-1/$S22))))</f>
        <v>0.3049650803026806</v>
      </c>
      <c r="AB22" s="1">
        <f>IF(ISBLANK($F22),"",IF($T22&gt;15000,$L22,($L22*(15000/$T22)^(-1/$S22))))</f>
        <v>0.17723139485173933</v>
      </c>
      <c r="AC22" s="2">
        <f>IF(ISBLANK(F22),"",(AA22-AB22)*1000)</f>
        <v>127.73368545094127</v>
      </c>
      <c r="AD22" s="2">
        <f>IF(ISBLANK(F22),"",AC22*$D22)</f>
        <v>19.160053578993285</v>
      </c>
      <c r="AF22" s="1">
        <f t="shared" si="2"/>
      </c>
      <c r="AG22" s="1">
        <f t="shared" si="3"/>
      </c>
    </row>
    <row r="23" spans="1:33" ht="12.75">
      <c r="A23" s="11" t="s">
        <v>64</v>
      </c>
      <c r="B23" s="11">
        <v>1</v>
      </c>
      <c r="C23" s="11" t="s">
        <v>166</v>
      </c>
      <c r="D23" s="12">
        <v>0.15000000596046448</v>
      </c>
      <c r="E23" s="13">
        <v>2</v>
      </c>
      <c r="F23" s="12">
        <v>1.5</v>
      </c>
      <c r="K23" s="10" t="str">
        <f>LOOKUP(C23,'Texture Codes'!$A$1:$A$89,'Texture Codes'!$C$1:$C$89)</f>
        <v>5</v>
      </c>
      <c r="L23" s="6">
        <f t="shared" si="0"/>
        <v>0.4035849056603774</v>
      </c>
      <c r="M23" s="6">
        <f>2.2+(0.541*(LN(K23)))+(0.355*E23)-(0.19*F23)</f>
        <v>3.495705910626848</v>
      </c>
      <c r="N23" s="6">
        <f t="shared" si="4"/>
        <v>-0.07277518122174365</v>
      </c>
      <c r="O23" s="6">
        <f t="shared" si="8"/>
        <v>13.740948263021593</v>
      </c>
      <c r="P23" s="6">
        <f t="shared" si="5"/>
        <v>62.22558069268205</v>
      </c>
      <c r="Q23" s="6">
        <f>2.116+(0.323*(LN(K23)))+(0.27*E23)-(0.485*(LN(F23)))+(0.124*F23)+(0.056*K23)</f>
        <v>3.4451978682837545</v>
      </c>
      <c r="R23" s="6">
        <f>-0.295+(0.0442*E23)+(0.132*(LN(F23)))+(0.0787*(LN(K23)))-(0.0278*F23)</f>
        <v>-0.06811584202115857</v>
      </c>
      <c r="S23" s="6">
        <f t="shared" si="6"/>
        <v>14.680872618287149</v>
      </c>
      <c r="T23" s="6">
        <f t="shared" si="7"/>
        <v>24.51558898224395</v>
      </c>
      <c r="V23" s="1">
        <f>IF(ISBLANK($F23),"",IF(P23&gt;100,$L23,($L23*(100/$P23)^(-1/$O23))))</f>
        <v>0.3898889874508729</v>
      </c>
      <c r="W23" s="1">
        <f t="shared" si="1"/>
        <v>0.27075440611223967</v>
      </c>
      <c r="X23" s="2">
        <f>IF(ISBLANK(F23),"",(V23-W23)*1000)</f>
        <v>119.13458133863325</v>
      </c>
      <c r="Y23" s="2">
        <f>IF(ISBLANK(F23),"",X23*$D23)</f>
        <v>17.87018791089243</v>
      </c>
      <c r="Z23" s="2"/>
      <c r="AA23" s="1">
        <f>IF(ISBLANK($F23),"",IF($T23&gt;100,$L23,($L23*(100/$T23)^(-1/$S23))))</f>
        <v>0.36672985376167994</v>
      </c>
      <c r="AB23" s="1">
        <f>IF(ISBLANK($F23),"",IF($T23&gt;15000,$L23,($L23*(15000/$T23)^(-1/$S23))))</f>
        <v>0.26068736174102985</v>
      </c>
      <c r="AC23" s="2">
        <f>IF(ISBLANK(F23),"",(AA23-AB23)*1000)</f>
        <v>106.04249202065009</v>
      </c>
      <c r="AD23" s="2">
        <f>IF(ISBLANK(F23),"",AC23*$D23)</f>
        <v>15.90637443516002</v>
      </c>
      <c r="AF23" s="1">
        <f t="shared" si="2"/>
      </c>
      <c r="AG23" s="1">
        <f t="shared" si="3"/>
      </c>
    </row>
    <row r="24" spans="1:33" ht="12.75">
      <c r="A24" s="11" t="s">
        <v>65</v>
      </c>
      <c r="B24" s="11">
        <v>1</v>
      </c>
      <c r="C24" s="11" t="s">
        <v>136</v>
      </c>
      <c r="D24" s="12">
        <v>0.6</v>
      </c>
      <c r="E24" s="13">
        <v>2</v>
      </c>
      <c r="F24" s="12">
        <v>1.7</v>
      </c>
      <c r="K24" s="10">
        <f>LOOKUP(C24,'Texture Codes'!$A$1:$A$89,'Texture Codes'!$C$1:$C$89)</f>
        <v>4</v>
      </c>
      <c r="L24" s="6">
        <f t="shared" si="0"/>
        <v>0.33339622641509437</v>
      </c>
      <c r="M24" s="6">
        <f>2.2+(0.541*(LN(K24)))+(0.355*E24)-(0.19*F24)</f>
        <v>3.336985249365861</v>
      </c>
      <c r="N24" s="6">
        <f t="shared" si="4"/>
        <v>-0.09984249399615727</v>
      </c>
      <c r="O24" s="6">
        <f t="shared" si="8"/>
        <v>10.015775447661472</v>
      </c>
      <c r="P24" s="6">
        <f>(EXP((M24-LN($L24*100))/(1/O24)))*1000</f>
        <v>182.63034263422546</v>
      </c>
      <c r="Q24" s="6">
        <f>2.116+(0.323*(LN(K24)))+(0.27*E24)-(0.485*(LN(F24)))+(0.124*F24)+(0.056*K24)</f>
        <v>3.281218376876572</v>
      </c>
      <c r="R24" s="6">
        <f>-0.295+(0.0442*E24)+(0.132*(LN(F24)))+(0.0787*(LN(K24)))-(0.0278*F24)</f>
        <v>-0.07471570463965808</v>
      </c>
      <c r="S24" s="6">
        <f t="shared" si="6"/>
        <v>13.384067042167914</v>
      </c>
      <c r="T24" s="6">
        <f>(EXP((Q24-LN($L24*100))/(1/S24)))*1000</f>
        <v>48.87524214441656</v>
      </c>
      <c r="V24" s="1">
        <f>IF(ISBLANK($F24),"",IF(P24&gt;100,$L24,($L24*(100/$P24)^(-1/$O24))))</f>
        <v>0.33339622641509437</v>
      </c>
      <c r="W24" s="1">
        <f>IF(ISBLANK(L24),"",IF(P24&gt;15000,$L24,($L24*(15000/$P24)^(-1/$O24))))</f>
        <v>0.21468929780030854</v>
      </c>
      <c r="X24" s="2">
        <f>IF(ISBLANK(F24),"",(V24-W24)*1000)</f>
        <v>118.70692861478582</v>
      </c>
      <c r="Y24" s="2">
        <f>IF(ISBLANK(F24),"",X24*$D24)</f>
        <v>71.22415716887149</v>
      </c>
      <c r="Z24" s="2"/>
      <c r="AA24" s="1">
        <f>IF(ISBLANK($F24),"",IF($T24&gt;100,$L24,($L24*(100/$T24)^(-1/$S24))))</f>
        <v>0.3160317671805063</v>
      </c>
      <c r="AB24" s="1">
        <f>IF(ISBLANK($F24),"",IF($T24&gt;15000,$L24,($L24*(15000/$T24)^(-1/$S24))))</f>
        <v>0.21734144385114013</v>
      </c>
      <c r="AC24" s="2">
        <f>IF(ISBLANK(F24),"",(AA24-AB24)*1000)</f>
        <v>98.69032332936617</v>
      </c>
      <c r="AD24" s="2">
        <f>IF(ISBLANK(F24),"",AC24*$D24)</f>
        <v>59.214193997619695</v>
      </c>
      <c r="AF24" s="1">
        <f t="shared" si="2"/>
      </c>
      <c r="AG24" s="1">
        <f t="shared" si="3"/>
      </c>
    </row>
    <row r="25" spans="14:15" ht="12.75">
      <c r="N25" s="8"/>
      <c r="O25" s="8"/>
    </row>
    <row r="26" spans="14:15" ht="12.75">
      <c r="N26" s="8"/>
      <c r="O26" s="8"/>
    </row>
    <row r="27" spans="14:15" ht="12.75">
      <c r="N27" s="8"/>
      <c r="O27" s="8"/>
    </row>
    <row r="28" spans="14:15" ht="12.75">
      <c r="N28" s="8"/>
      <c r="O28" s="8"/>
    </row>
    <row r="29" spans="14:15" ht="12.75">
      <c r="N29" s="8"/>
      <c r="O29" s="8"/>
    </row>
    <row r="30" spans="14:15" ht="12.75">
      <c r="N30" s="8"/>
      <c r="O30" s="8"/>
    </row>
    <row r="31" spans="14:15" ht="12.75">
      <c r="N31" s="8"/>
      <c r="O31" s="8"/>
    </row>
    <row r="32" spans="14:15" ht="12.75">
      <c r="N32" s="8"/>
      <c r="O32" s="8"/>
    </row>
    <row r="33" spans="14:15" ht="12.75">
      <c r="N33" s="8"/>
      <c r="O33" s="8"/>
    </row>
    <row r="34" spans="14:15" ht="12.75">
      <c r="N34" s="8"/>
      <c r="O34" s="8"/>
    </row>
    <row r="35" spans="14:15" ht="12.75">
      <c r="N35" s="8"/>
      <c r="O35" s="8"/>
    </row>
  </sheetData>
  <printOptions/>
  <pageMargins left="0.75" right="0.75" top="1" bottom="1" header="0.5" footer="0.5"/>
  <pageSetup horizontalDpi="600" verticalDpi="600" orientation="portrait" paperSize="9" r:id="rId3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9"/>
  <sheetViews>
    <sheetView workbookViewId="0" topLeftCell="A1">
      <selection activeCell="A1" sqref="A1"/>
    </sheetView>
  </sheetViews>
  <sheetFormatPr defaultColWidth="9.140625" defaultRowHeight="12.75"/>
  <cols>
    <col min="2" max="2" width="31.140625" style="0" customWidth="1"/>
  </cols>
  <sheetData>
    <row r="1" spans="1:3" ht="12.75" customHeight="1">
      <c r="A1" s="4" t="s">
        <v>95</v>
      </c>
      <c r="B1" s="4" t="s">
        <v>96</v>
      </c>
      <c r="C1" s="5" t="s">
        <v>246</v>
      </c>
    </row>
    <row r="2" spans="1:3" ht="12.75" customHeight="1">
      <c r="A2" s="4" t="s">
        <v>99</v>
      </c>
      <c r="B2" s="4" t="s">
        <v>100</v>
      </c>
      <c r="C2" s="5" t="s">
        <v>246</v>
      </c>
    </row>
    <row r="3" spans="1:3" ht="12.75" customHeight="1">
      <c r="A3" s="4" t="s">
        <v>136</v>
      </c>
      <c r="B3" s="4" t="s">
        <v>137</v>
      </c>
      <c r="C3" s="5">
        <v>4</v>
      </c>
    </row>
    <row r="4" spans="1:3" ht="12.75" customHeight="1">
      <c r="A4" s="4" t="s">
        <v>144</v>
      </c>
      <c r="B4" s="4" t="s">
        <v>145</v>
      </c>
      <c r="C4" s="5" t="s">
        <v>248</v>
      </c>
    </row>
    <row r="5" spans="1:3" ht="12.75" customHeight="1">
      <c r="A5" s="4" t="s">
        <v>150</v>
      </c>
      <c r="B5" s="4" t="s">
        <v>151</v>
      </c>
      <c r="C5" s="5">
        <v>4</v>
      </c>
    </row>
    <row r="6" spans="1:3" ht="12.75" customHeight="1">
      <c r="A6" s="4" t="s">
        <v>146</v>
      </c>
      <c r="B6" s="4" t="s">
        <v>147</v>
      </c>
      <c r="C6" s="5" t="s">
        <v>248</v>
      </c>
    </row>
    <row r="7" spans="1:3" ht="12.75" customHeight="1">
      <c r="A7" s="4" t="s">
        <v>154</v>
      </c>
      <c r="B7" s="4" t="s">
        <v>155</v>
      </c>
      <c r="C7" s="5" t="s">
        <v>248</v>
      </c>
    </row>
    <row r="8" spans="1:3" ht="12.75" customHeight="1">
      <c r="A8" s="4" t="s">
        <v>152</v>
      </c>
      <c r="B8" s="4" t="s">
        <v>153</v>
      </c>
      <c r="C8" s="5" t="s">
        <v>248</v>
      </c>
    </row>
    <row r="9" spans="1:3" ht="12.75" customHeight="1">
      <c r="A9" s="4" t="s">
        <v>148</v>
      </c>
      <c r="B9" s="4" t="s">
        <v>149</v>
      </c>
      <c r="C9" s="5" t="s">
        <v>248</v>
      </c>
    </row>
    <row r="10" spans="1:3" ht="12.75" customHeight="1">
      <c r="A10" s="4" t="s">
        <v>156</v>
      </c>
      <c r="B10" s="4" t="s">
        <v>157</v>
      </c>
      <c r="C10" s="5" t="s">
        <v>248</v>
      </c>
    </row>
    <row r="11" spans="1:3" ht="12.75" customHeight="1">
      <c r="A11" s="4" t="s">
        <v>158</v>
      </c>
      <c r="B11" s="4" t="s">
        <v>159</v>
      </c>
      <c r="C11" s="5" t="s">
        <v>248</v>
      </c>
    </row>
    <row r="12" spans="1:3" ht="12.75" customHeight="1">
      <c r="A12" s="4" t="s">
        <v>97</v>
      </c>
      <c r="B12" s="4" t="s">
        <v>98</v>
      </c>
      <c r="C12" s="5" t="s">
        <v>246</v>
      </c>
    </row>
    <row r="13" spans="1:3" ht="12.75" customHeight="1">
      <c r="A13" s="4" t="s">
        <v>93</v>
      </c>
      <c r="B13" s="4" t="s">
        <v>94</v>
      </c>
      <c r="C13" s="5" t="s">
        <v>246</v>
      </c>
    </row>
    <row r="14" spans="1:3" ht="12.75" customHeight="1">
      <c r="A14" s="4" t="s">
        <v>101</v>
      </c>
      <c r="B14" s="4" t="s">
        <v>102</v>
      </c>
      <c r="C14" s="5" t="s">
        <v>246</v>
      </c>
    </row>
    <row r="15" spans="1:3" ht="12.75" customHeight="1">
      <c r="A15" s="4" t="s">
        <v>103</v>
      </c>
      <c r="B15" s="4" t="s">
        <v>104</v>
      </c>
      <c r="C15" s="5" t="s">
        <v>246</v>
      </c>
    </row>
    <row r="16" spans="1:3" ht="12.75" customHeight="1">
      <c r="A16" s="4" t="s">
        <v>71</v>
      </c>
      <c r="B16" s="4" t="s">
        <v>72</v>
      </c>
      <c r="C16" s="5" t="s">
        <v>246</v>
      </c>
    </row>
    <row r="17" spans="1:3" ht="12.75" customHeight="1">
      <c r="A17" s="4" t="s">
        <v>138</v>
      </c>
      <c r="B17" s="4" t="s">
        <v>139</v>
      </c>
      <c r="C17" s="5">
        <v>4</v>
      </c>
    </row>
    <row r="18" spans="1:3" ht="12.75" customHeight="1">
      <c r="A18" s="4" t="s">
        <v>234</v>
      </c>
      <c r="B18" s="4" t="s">
        <v>235</v>
      </c>
      <c r="C18" s="5" t="s">
        <v>249</v>
      </c>
    </row>
    <row r="19" spans="1:3" ht="12.75" customHeight="1">
      <c r="A19" s="4" t="s">
        <v>107</v>
      </c>
      <c r="B19" s="4" t="s">
        <v>108</v>
      </c>
      <c r="C19" s="5" t="s">
        <v>250</v>
      </c>
    </row>
    <row r="20" spans="1:3" ht="12.75" customHeight="1">
      <c r="A20" s="4" t="s">
        <v>170</v>
      </c>
      <c r="B20" s="4" t="s">
        <v>171</v>
      </c>
      <c r="C20" s="5" t="s">
        <v>251</v>
      </c>
    </row>
    <row r="21" spans="1:3" ht="12.75" customHeight="1">
      <c r="A21" s="4" t="s">
        <v>188</v>
      </c>
      <c r="B21" s="4" t="s">
        <v>189</v>
      </c>
      <c r="C21" s="5" t="s">
        <v>251</v>
      </c>
    </row>
    <row r="22" spans="1:3" ht="12.75" customHeight="1">
      <c r="A22" s="4" t="s">
        <v>204</v>
      </c>
      <c r="B22" s="4" t="s">
        <v>205</v>
      </c>
      <c r="C22" s="5" t="s">
        <v>249</v>
      </c>
    </row>
    <row r="23" spans="1:3" ht="12.75" customHeight="1">
      <c r="A23" s="4" t="s">
        <v>220</v>
      </c>
      <c r="B23" s="4" t="s">
        <v>221</v>
      </c>
      <c r="C23" s="5" t="s">
        <v>249</v>
      </c>
    </row>
    <row r="24" spans="1:3" ht="12.75" customHeight="1">
      <c r="A24" s="4" t="s">
        <v>230</v>
      </c>
      <c r="B24" s="4" t="s">
        <v>231</v>
      </c>
      <c r="C24" s="5" t="s">
        <v>249</v>
      </c>
    </row>
    <row r="25" spans="1:3" ht="12.75" customHeight="1">
      <c r="A25" s="4" t="s">
        <v>242</v>
      </c>
      <c r="B25" s="4" t="s">
        <v>243</v>
      </c>
      <c r="C25" s="5" t="s">
        <v>249</v>
      </c>
    </row>
    <row r="26" spans="1:3" ht="12.75" customHeight="1">
      <c r="A26" s="4" t="s">
        <v>244</v>
      </c>
      <c r="B26" s="4" t="s">
        <v>245</v>
      </c>
      <c r="C26" s="5" t="s">
        <v>249</v>
      </c>
    </row>
    <row r="27" spans="1:3" ht="12.75" customHeight="1">
      <c r="A27" s="4" t="s">
        <v>75</v>
      </c>
      <c r="B27" s="4" t="s">
        <v>76</v>
      </c>
      <c r="C27" s="5" t="s">
        <v>246</v>
      </c>
    </row>
    <row r="28" spans="1:3" ht="12.75" customHeight="1">
      <c r="A28" s="4" t="s">
        <v>142</v>
      </c>
      <c r="B28" s="4" t="s">
        <v>143</v>
      </c>
      <c r="C28" s="5" t="s">
        <v>247</v>
      </c>
    </row>
    <row r="29" spans="1:3" ht="12.75" customHeight="1">
      <c r="A29" s="4" t="s">
        <v>238</v>
      </c>
      <c r="B29" s="4" t="s">
        <v>239</v>
      </c>
      <c r="C29" s="5" t="s">
        <v>249</v>
      </c>
    </row>
    <row r="30" spans="1:3" ht="12.75" customHeight="1">
      <c r="A30" s="4" t="s">
        <v>111</v>
      </c>
      <c r="B30" s="4" t="s">
        <v>112</v>
      </c>
      <c r="C30" s="5" t="s">
        <v>250</v>
      </c>
    </row>
    <row r="31" spans="1:3" ht="12.75" customHeight="1">
      <c r="A31" s="4" t="s">
        <v>174</v>
      </c>
      <c r="B31" s="4" t="s">
        <v>175</v>
      </c>
      <c r="C31" s="5" t="s">
        <v>251</v>
      </c>
    </row>
    <row r="32" spans="1:3" ht="12.75" customHeight="1">
      <c r="A32" s="4" t="s">
        <v>192</v>
      </c>
      <c r="B32" s="4" t="s">
        <v>193</v>
      </c>
      <c r="C32" s="5" t="s">
        <v>251</v>
      </c>
    </row>
    <row r="33" spans="1:3" ht="12.75" customHeight="1">
      <c r="A33" s="4" t="s">
        <v>208</v>
      </c>
      <c r="B33" s="4" t="s">
        <v>209</v>
      </c>
      <c r="C33" s="5" t="s">
        <v>249</v>
      </c>
    </row>
    <row r="34" spans="1:3" ht="12.75" customHeight="1">
      <c r="A34" s="4" t="s">
        <v>224</v>
      </c>
      <c r="B34" s="4" t="s">
        <v>225</v>
      </c>
      <c r="C34" s="5" t="s">
        <v>249</v>
      </c>
    </row>
    <row r="35" spans="1:3" ht="12.75" customHeight="1">
      <c r="A35" s="4" t="s">
        <v>67</v>
      </c>
      <c r="B35" s="4" t="s">
        <v>117</v>
      </c>
      <c r="C35" s="5" t="s">
        <v>247</v>
      </c>
    </row>
    <row r="36" spans="1:3" ht="12.75" customHeight="1">
      <c r="A36" s="4" t="s">
        <v>118</v>
      </c>
      <c r="B36" s="4" t="s">
        <v>119</v>
      </c>
      <c r="C36" s="5" t="s">
        <v>247</v>
      </c>
    </row>
    <row r="37" spans="1:3" ht="12.75" customHeight="1">
      <c r="A37" s="4" t="s">
        <v>166</v>
      </c>
      <c r="B37" s="4" t="s">
        <v>167</v>
      </c>
      <c r="C37" s="5" t="s">
        <v>251</v>
      </c>
    </row>
    <row r="38" spans="1:3" ht="12.75" customHeight="1">
      <c r="A38" s="4" t="s">
        <v>178</v>
      </c>
      <c r="B38" s="4" t="s">
        <v>179</v>
      </c>
      <c r="C38" s="5" t="s">
        <v>251</v>
      </c>
    </row>
    <row r="39" spans="1:3" ht="12.75" customHeight="1">
      <c r="A39" s="4" t="s">
        <v>180</v>
      </c>
      <c r="B39" s="4" t="s">
        <v>181</v>
      </c>
      <c r="C39" s="5" t="s">
        <v>251</v>
      </c>
    </row>
    <row r="40" spans="1:3" ht="12.75" customHeight="1">
      <c r="A40" s="4" t="s">
        <v>83</v>
      </c>
      <c r="B40" s="4" t="s">
        <v>84</v>
      </c>
      <c r="C40" s="5" t="s">
        <v>246</v>
      </c>
    </row>
    <row r="41" spans="1:3" ht="12.75" customHeight="1">
      <c r="A41" s="4" t="s">
        <v>120</v>
      </c>
      <c r="B41" s="4" t="s">
        <v>121</v>
      </c>
      <c r="C41" s="5" t="s">
        <v>247</v>
      </c>
    </row>
    <row r="42" spans="1:3" ht="12.75" customHeight="1">
      <c r="A42" s="4" t="s">
        <v>87</v>
      </c>
      <c r="B42" s="4" t="s">
        <v>88</v>
      </c>
      <c r="C42" s="5" t="s">
        <v>246</v>
      </c>
    </row>
    <row r="43" spans="1:3" ht="12.75" customHeight="1">
      <c r="A43" s="4" t="s">
        <v>182</v>
      </c>
      <c r="B43" s="4" t="s">
        <v>183</v>
      </c>
      <c r="C43" s="5" t="s">
        <v>251</v>
      </c>
    </row>
    <row r="44" spans="1:3" ht="12.75" customHeight="1">
      <c r="A44" s="4" t="s">
        <v>194</v>
      </c>
      <c r="B44" s="4" t="s">
        <v>195</v>
      </c>
      <c r="C44" s="5" t="s">
        <v>251</v>
      </c>
    </row>
    <row r="45" spans="1:3" ht="12.75" customHeight="1">
      <c r="A45" s="4" t="s">
        <v>196</v>
      </c>
      <c r="B45" s="4" t="s">
        <v>197</v>
      </c>
      <c r="C45" s="5" t="s">
        <v>251</v>
      </c>
    </row>
    <row r="46" spans="1:3" ht="12.75" customHeight="1">
      <c r="A46" s="4" t="s">
        <v>85</v>
      </c>
      <c r="B46" s="4" t="s">
        <v>86</v>
      </c>
      <c r="C46" s="5" t="s">
        <v>246</v>
      </c>
    </row>
    <row r="47" spans="1:3" ht="12.75" customHeight="1">
      <c r="A47" s="4" t="s">
        <v>81</v>
      </c>
      <c r="B47" s="4" t="s">
        <v>82</v>
      </c>
      <c r="C47" s="5" t="s">
        <v>246</v>
      </c>
    </row>
    <row r="48" spans="1:3" ht="12.75" customHeight="1">
      <c r="A48" s="4" t="s">
        <v>89</v>
      </c>
      <c r="B48" s="4" t="s">
        <v>90</v>
      </c>
      <c r="C48" s="5" t="s">
        <v>246</v>
      </c>
    </row>
    <row r="49" spans="1:3" ht="12.75" customHeight="1">
      <c r="A49" s="4" t="s">
        <v>91</v>
      </c>
      <c r="B49" s="4" t="s">
        <v>92</v>
      </c>
      <c r="C49" s="5" t="s">
        <v>246</v>
      </c>
    </row>
    <row r="50" spans="1:3" ht="12.75" customHeight="1">
      <c r="A50" s="4" t="s">
        <v>198</v>
      </c>
      <c r="B50" s="4" t="s">
        <v>199</v>
      </c>
      <c r="C50" s="5" t="s">
        <v>249</v>
      </c>
    </row>
    <row r="51" spans="1:3" ht="12.75" customHeight="1">
      <c r="A51" s="4" t="s">
        <v>210</v>
      </c>
      <c r="B51" s="4" t="s">
        <v>211</v>
      </c>
      <c r="C51" s="5" t="s">
        <v>249</v>
      </c>
    </row>
    <row r="52" spans="1:3" ht="12.75" customHeight="1">
      <c r="A52" s="4" t="s">
        <v>212</v>
      </c>
      <c r="B52" s="4" t="s">
        <v>213</v>
      </c>
      <c r="C52" s="5" t="s">
        <v>249</v>
      </c>
    </row>
    <row r="53" spans="1:3" ht="12.75" customHeight="1">
      <c r="A53" s="4" t="s">
        <v>214</v>
      </c>
      <c r="B53" s="4" t="s">
        <v>215</v>
      </c>
      <c r="C53" s="5" t="s">
        <v>249</v>
      </c>
    </row>
    <row r="54" spans="1:3" ht="12.75" customHeight="1">
      <c r="A54" s="4" t="s">
        <v>226</v>
      </c>
      <c r="B54" s="4" t="s">
        <v>227</v>
      </c>
      <c r="C54" s="5" t="s">
        <v>249</v>
      </c>
    </row>
    <row r="55" spans="1:3" ht="12.75" customHeight="1">
      <c r="A55" s="4" t="s">
        <v>228</v>
      </c>
      <c r="B55" s="4" t="s">
        <v>229</v>
      </c>
      <c r="C55" s="5" t="s">
        <v>249</v>
      </c>
    </row>
    <row r="56" spans="1:3" ht="12.75" customHeight="1">
      <c r="A56" s="4" t="s">
        <v>73</v>
      </c>
      <c r="B56" s="4" t="s">
        <v>74</v>
      </c>
      <c r="C56" s="5" t="s">
        <v>246</v>
      </c>
    </row>
    <row r="57" spans="1:3" ht="12.75" customHeight="1">
      <c r="A57" s="4" t="s">
        <v>140</v>
      </c>
      <c r="B57" s="4" t="s">
        <v>141</v>
      </c>
      <c r="C57" s="5" t="s">
        <v>247</v>
      </c>
    </row>
    <row r="58" spans="1:3" ht="12.75" customHeight="1">
      <c r="A58" s="4" t="s">
        <v>236</v>
      </c>
      <c r="B58" s="4" t="s">
        <v>237</v>
      </c>
      <c r="C58" s="5" t="s">
        <v>249</v>
      </c>
    </row>
    <row r="59" spans="1:3" ht="12.75" customHeight="1">
      <c r="A59" s="4" t="s">
        <v>109</v>
      </c>
      <c r="B59" s="4" t="s">
        <v>110</v>
      </c>
      <c r="C59" s="5" t="s">
        <v>250</v>
      </c>
    </row>
    <row r="60" spans="1:3" ht="12.75" customHeight="1">
      <c r="A60" s="4" t="s">
        <v>172</v>
      </c>
      <c r="B60" s="4" t="s">
        <v>173</v>
      </c>
      <c r="C60" s="5" t="s">
        <v>251</v>
      </c>
    </row>
    <row r="61" spans="1:3" ht="12.75" customHeight="1">
      <c r="A61" s="4" t="s">
        <v>190</v>
      </c>
      <c r="B61" s="4" t="s">
        <v>191</v>
      </c>
      <c r="C61" s="5" t="s">
        <v>251</v>
      </c>
    </row>
    <row r="62" spans="1:3" ht="12.75" customHeight="1">
      <c r="A62" s="4" t="s">
        <v>206</v>
      </c>
      <c r="B62" s="4" t="s">
        <v>207</v>
      </c>
      <c r="C62" s="5" t="s">
        <v>249</v>
      </c>
    </row>
    <row r="63" spans="1:3" ht="12.75" customHeight="1">
      <c r="A63" s="4" t="s">
        <v>222</v>
      </c>
      <c r="B63" s="4" t="s">
        <v>223</v>
      </c>
      <c r="C63" s="5" t="s">
        <v>249</v>
      </c>
    </row>
    <row r="64" spans="1:3" ht="12.75" customHeight="1">
      <c r="A64" s="4" t="s">
        <v>68</v>
      </c>
      <c r="B64" s="4" t="s">
        <v>70</v>
      </c>
      <c r="C64" s="5" t="s">
        <v>246</v>
      </c>
    </row>
    <row r="65" spans="1:3" ht="12.75" customHeight="1">
      <c r="A65" s="4" t="s">
        <v>77</v>
      </c>
      <c r="B65" s="4" t="s">
        <v>78</v>
      </c>
      <c r="C65" s="5" t="s">
        <v>246</v>
      </c>
    </row>
    <row r="66" spans="1:3" ht="12.75" customHeight="1">
      <c r="A66" s="4" t="s">
        <v>128</v>
      </c>
      <c r="B66" s="4" t="s">
        <v>129</v>
      </c>
      <c r="C66" s="5" t="s">
        <v>247</v>
      </c>
    </row>
    <row r="67" spans="1:3" ht="12.75" customHeight="1">
      <c r="A67" s="4" t="s">
        <v>132</v>
      </c>
      <c r="B67" s="4" t="s">
        <v>133</v>
      </c>
      <c r="C67" s="5" t="s">
        <v>247</v>
      </c>
    </row>
    <row r="68" spans="1:3" ht="12.75" customHeight="1">
      <c r="A68" s="4" t="s">
        <v>130</v>
      </c>
      <c r="B68" s="4" t="s">
        <v>131</v>
      </c>
      <c r="C68" s="5" t="s">
        <v>247</v>
      </c>
    </row>
    <row r="69" spans="1:3" ht="12.75" customHeight="1">
      <c r="A69" s="4" t="s">
        <v>134</v>
      </c>
      <c r="B69" s="4" t="s">
        <v>135</v>
      </c>
      <c r="C69" s="5" t="s">
        <v>247</v>
      </c>
    </row>
    <row r="70" spans="1:3" ht="12.75" customHeight="1">
      <c r="A70" s="4" t="s">
        <v>232</v>
      </c>
      <c r="B70" s="4" t="s">
        <v>233</v>
      </c>
      <c r="C70" s="5" t="s">
        <v>249</v>
      </c>
    </row>
    <row r="71" spans="1:3" ht="12.75" customHeight="1">
      <c r="A71" s="4" t="s">
        <v>79</v>
      </c>
      <c r="B71" s="4" t="s">
        <v>80</v>
      </c>
      <c r="C71" s="5" t="s">
        <v>246</v>
      </c>
    </row>
    <row r="72" spans="1:3" ht="12.75" customHeight="1">
      <c r="A72" s="4" t="s">
        <v>105</v>
      </c>
      <c r="B72" s="4" t="s">
        <v>106</v>
      </c>
      <c r="C72" s="5" t="s">
        <v>250</v>
      </c>
    </row>
    <row r="73" spans="1:3" ht="12.75" customHeight="1">
      <c r="A73" s="4" t="s">
        <v>113</v>
      </c>
      <c r="B73" s="4" t="s">
        <v>114</v>
      </c>
      <c r="C73" s="5" t="s">
        <v>250</v>
      </c>
    </row>
    <row r="74" spans="1:3" ht="12.75" customHeight="1">
      <c r="A74" s="4" t="s">
        <v>168</v>
      </c>
      <c r="B74" s="4" t="s">
        <v>169</v>
      </c>
      <c r="C74" s="5" t="s">
        <v>251</v>
      </c>
    </row>
    <row r="75" spans="1:3" ht="12.75" customHeight="1">
      <c r="A75" s="4" t="s">
        <v>115</v>
      </c>
      <c r="B75" s="4" t="s">
        <v>116</v>
      </c>
      <c r="C75" s="5" t="s">
        <v>250</v>
      </c>
    </row>
    <row r="76" spans="1:3" ht="12.75" customHeight="1">
      <c r="A76" s="4" t="s">
        <v>186</v>
      </c>
      <c r="B76" s="4" t="s">
        <v>187</v>
      </c>
      <c r="C76" s="5" t="s">
        <v>251</v>
      </c>
    </row>
    <row r="77" spans="1:3" ht="12.75" customHeight="1">
      <c r="A77" s="4" t="s">
        <v>202</v>
      </c>
      <c r="B77" s="4" t="s">
        <v>203</v>
      </c>
      <c r="C77" s="5" t="s">
        <v>249</v>
      </c>
    </row>
    <row r="78" spans="1:3" ht="12.75" customHeight="1">
      <c r="A78" s="4" t="s">
        <v>218</v>
      </c>
      <c r="B78" s="4" t="s">
        <v>219</v>
      </c>
      <c r="C78" s="5" t="s">
        <v>249</v>
      </c>
    </row>
    <row r="79" spans="1:3" ht="12.75" customHeight="1">
      <c r="A79" s="4" t="s">
        <v>160</v>
      </c>
      <c r="B79" s="4" t="s">
        <v>161</v>
      </c>
      <c r="C79" s="5" t="s">
        <v>248</v>
      </c>
    </row>
    <row r="80" spans="1:3" ht="12.75" customHeight="1">
      <c r="A80" s="4" t="s">
        <v>162</v>
      </c>
      <c r="B80" s="4" t="s">
        <v>163</v>
      </c>
      <c r="C80" s="5" t="s">
        <v>248</v>
      </c>
    </row>
    <row r="81" spans="1:3" ht="12.75" customHeight="1">
      <c r="A81" s="4" t="s">
        <v>164</v>
      </c>
      <c r="B81" s="4" t="s">
        <v>165</v>
      </c>
      <c r="C81" s="5" t="s">
        <v>248</v>
      </c>
    </row>
    <row r="82" spans="1:3" ht="12.75" customHeight="1">
      <c r="A82" s="4" t="s">
        <v>240</v>
      </c>
      <c r="B82" s="4" t="s">
        <v>241</v>
      </c>
      <c r="C82" s="5" t="s">
        <v>249</v>
      </c>
    </row>
    <row r="83" spans="1:3" ht="12.75" customHeight="1">
      <c r="A83" s="4" t="s">
        <v>122</v>
      </c>
      <c r="B83" s="4" t="s">
        <v>123</v>
      </c>
      <c r="C83" s="5" t="s">
        <v>247</v>
      </c>
    </row>
    <row r="84" spans="1:3" ht="12.75" customHeight="1">
      <c r="A84" s="4" t="s">
        <v>124</v>
      </c>
      <c r="B84" s="4" t="s">
        <v>125</v>
      </c>
      <c r="C84" s="5" t="s">
        <v>247</v>
      </c>
    </row>
    <row r="85" spans="1:3" ht="12.75" customHeight="1">
      <c r="A85" s="4" t="s">
        <v>176</v>
      </c>
      <c r="B85" s="4" t="s">
        <v>177</v>
      </c>
      <c r="C85" s="5" t="s">
        <v>251</v>
      </c>
    </row>
    <row r="86" spans="1:3" ht="12.75" customHeight="1">
      <c r="A86" s="4" t="s">
        <v>126</v>
      </c>
      <c r="B86" s="4" t="s">
        <v>127</v>
      </c>
      <c r="C86" s="5" t="s">
        <v>247</v>
      </c>
    </row>
    <row r="87" spans="1:3" ht="12.75" customHeight="1">
      <c r="A87" s="4" t="s">
        <v>184</v>
      </c>
      <c r="B87" s="4" t="s">
        <v>185</v>
      </c>
      <c r="C87" s="5" t="s">
        <v>251</v>
      </c>
    </row>
    <row r="88" spans="1:3" ht="12.75" customHeight="1">
      <c r="A88" s="4" t="s">
        <v>200</v>
      </c>
      <c r="B88" s="4" t="s">
        <v>201</v>
      </c>
      <c r="C88" s="5" t="s">
        <v>249</v>
      </c>
    </row>
    <row r="89" spans="1:3" ht="12.75" customHeight="1">
      <c r="A89" s="4" t="s">
        <v>216</v>
      </c>
      <c r="B89" s="4" t="s">
        <v>217</v>
      </c>
      <c r="C89" s="5" t="s">
        <v>249</v>
      </c>
    </row>
    <row r="90" ht="12.75" customHeight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McKenzie</dc:creator>
  <cp:keywords/>
  <dc:description/>
  <cp:lastModifiedBy>David Jacquier</cp:lastModifiedBy>
  <dcterms:created xsi:type="dcterms:W3CDTF">2004-07-28T05:22:32Z</dcterms:created>
  <dcterms:modified xsi:type="dcterms:W3CDTF">2004-09-07T05:17:56Z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1026020942</vt:i4>
  </property>
  <property fmtid="{D5CDD505-2E9C-101B-9397-08002B2CF9AE}" pid="3" name="_EmailSubject">
    <vt:lpwstr>Spreadsheet</vt:lpwstr>
  </property>
  <property fmtid="{D5CDD505-2E9C-101B-9397-08002B2CF9AE}" pid="4" name="_AuthorEmail">
    <vt:lpwstr>Neil.McKenzie@csiro.au</vt:lpwstr>
  </property>
  <property fmtid="{D5CDD505-2E9C-101B-9397-08002B2CF9AE}" pid="5" name="_AuthorEmailDisplayName">
    <vt:lpwstr>McKenzie, Neil (CLW, Black Mountain)</vt:lpwstr>
  </property>
  <property fmtid="{D5CDD505-2E9C-101B-9397-08002B2CF9AE}" pid="6" name="_ReviewingToolsShownOnce">
    <vt:lpwstr/>
  </property>
</Properties>
</file>